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U:\VERIFICACIÓN ASTER GLOBAL\Documentos del link\"/>
    </mc:Choice>
  </mc:AlternateContent>
  <xr:revisionPtr revIDLastSave="0" documentId="8_{33E05AE3-9976-425C-A982-7EC4BFD23A37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Summary table" sheetId="2" r:id="rId1"/>
    <sheet name="ProjectArea" sheetId="3" r:id="rId2"/>
    <sheet name="Leakage LB" sheetId="4" r:id="rId3"/>
    <sheet name="Leakage OLB" sheetId="11" r:id="rId4"/>
    <sheet name="Stocks" sheetId="5" r:id="rId5"/>
    <sheet name="Dist actual" sheetId="6" r:id="rId6"/>
    <sheet name="Defor actual" sheetId="7" r:id="rId7"/>
    <sheet name="cumulative UNC" sheetId="15" r:id="rId8"/>
    <sheet name="baseline_tables_2020" sheetId="23" r:id="rId9"/>
    <sheet name="inventory stats" sheetId="13" r:id="rId10"/>
    <sheet name="defor rate" sheetId="14" r:id="rId11"/>
    <sheet name="pop proj" sheetId="22" r:id="rId12"/>
  </sheets>
  <externalReferences>
    <externalReference r:id="rId13"/>
    <externalReference r:id="rId14"/>
    <externalReference r:id="rId1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11" l="1"/>
  <c r="L12" i="11"/>
  <c r="D6" i="7"/>
  <c r="D7" i="7"/>
  <c r="D8" i="7"/>
  <c r="D9" i="7"/>
  <c r="J19" i="7"/>
  <c r="G16" i="15"/>
  <c r="H16" i="15" s="1"/>
  <c r="I16" i="15" s="1"/>
  <c r="F16" i="15"/>
  <c r="G15" i="15"/>
  <c r="H15" i="15" s="1"/>
  <c r="I15" i="15" s="1"/>
  <c r="F15" i="15"/>
  <c r="G14" i="15"/>
  <c r="H14" i="15" s="1"/>
  <c r="I14" i="15" s="1"/>
  <c r="F14" i="15"/>
  <c r="G13" i="15"/>
  <c r="H13" i="15" s="1"/>
  <c r="I13" i="15" s="1"/>
  <c r="F13" i="15"/>
  <c r="G12" i="15"/>
  <c r="H12" i="15" s="1"/>
  <c r="I12" i="15" s="1"/>
  <c r="F12" i="15"/>
  <c r="G11" i="15"/>
  <c r="H11" i="15" s="1"/>
  <c r="I11" i="15" s="1"/>
  <c r="F11" i="15"/>
  <c r="G10" i="15"/>
  <c r="H10" i="15" s="1"/>
  <c r="I10" i="15" s="1"/>
  <c r="F10" i="15"/>
  <c r="G9" i="15"/>
  <c r="H9" i="15" s="1"/>
  <c r="I9" i="15" s="1"/>
  <c r="F9" i="15"/>
  <c r="G8" i="15"/>
  <c r="H8" i="15" s="1"/>
  <c r="I8" i="15" s="1"/>
  <c r="F8" i="15"/>
  <c r="G7" i="15"/>
  <c r="H7" i="15" s="1"/>
  <c r="I7" i="15" s="1"/>
  <c r="F7" i="15"/>
  <c r="N30" i="23"/>
  <c r="N29" i="23"/>
  <c r="N28" i="23"/>
  <c r="J21" i="7"/>
  <c r="J20" i="7"/>
  <c r="J22" i="7" s="1"/>
  <c r="D7" i="2"/>
  <c r="B5" i="2"/>
  <c r="C9" i="3"/>
  <c r="E9" i="3"/>
  <c r="F9" i="3"/>
  <c r="D9" i="4"/>
  <c r="D19" i="4"/>
  <c r="F8" i="6"/>
  <c r="E7" i="6"/>
  <c r="D7" i="6"/>
  <c r="E5" i="6"/>
  <c r="E6" i="6"/>
  <c r="D6" i="6"/>
  <c r="D5" i="6"/>
  <c r="C7" i="6"/>
  <c r="C6" i="6"/>
  <c r="C5" i="6"/>
  <c r="L21" i="7"/>
  <c r="L20" i="7"/>
  <c r="L19" i="7"/>
  <c r="K21" i="7"/>
  <c r="K20" i="7"/>
  <c r="K19" i="7"/>
  <c r="E21" i="7"/>
  <c r="E20" i="7"/>
  <c r="E19" i="7"/>
  <c r="F21" i="7"/>
  <c r="F20" i="7"/>
  <c r="F19" i="7"/>
  <c r="D21" i="7"/>
  <c r="D20" i="7"/>
  <c r="D19" i="7"/>
  <c r="D22" i="7" s="1"/>
  <c r="C21" i="7"/>
  <c r="C20" i="7"/>
  <c r="C19" i="7"/>
  <c r="H69" i="23"/>
  <c r="G19" i="7" l="1"/>
  <c r="G7" i="6"/>
  <c r="E8" i="6"/>
  <c r="E22" i="7"/>
  <c r="D8" i="6"/>
  <c r="G20" i="7"/>
  <c r="G21" i="7"/>
  <c r="G11" i="11" s="1"/>
  <c r="C8" i="6"/>
  <c r="G6" i="6"/>
  <c r="D11" i="7"/>
  <c r="F22" i="7"/>
  <c r="C22" i="7"/>
  <c r="J10" i="15"/>
  <c r="K10" i="15" s="1"/>
  <c r="L10" i="15" s="1"/>
  <c r="M10" i="15" s="1"/>
  <c r="J13" i="15"/>
  <c r="K13" i="15" s="1"/>
  <c r="L13" i="15" s="1"/>
  <c r="M13" i="15" s="1"/>
  <c r="J9" i="15"/>
  <c r="K9" i="15" s="1"/>
  <c r="L9" i="15" s="1"/>
  <c r="M9" i="15" s="1"/>
  <c r="J14" i="15"/>
  <c r="K14" i="15" s="1"/>
  <c r="L14" i="15" s="1"/>
  <c r="M14" i="15" s="1"/>
  <c r="J11" i="15"/>
  <c r="K11" i="15" s="1"/>
  <c r="L11" i="15" s="1"/>
  <c r="M11" i="15" s="1"/>
  <c r="J15" i="15"/>
  <c r="K15" i="15" s="1"/>
  <c r="L15" i="15" s="1"/>
  <c r="M15" i="15" s="1"/>
  <c r="J8" i="15"/>
  <c r="K8" i="15" s="1"/>
  <c r="L8" i="15" s="1"/>
  <c r="M8" i="15" s="1"/>
  <c r="J7" i="15"/>
  <c r="K7" i="15" s="1"/>
  <c r="L7" i="15" s="1"/>
  <c r="M7" i="15" s="1"/>
  <c r="J12" i="15"/>
  <c r="K12" i="15" s="1"/>
  <c r="L12" i="15" s="1"/>
  <c r="M12" i="15" s="1"/>
  <c r="J16" i="15"/>
  <c r="K16" i="15" s="1"/>
  <c r="L16" i="15" s="1"/>
  <c r="M16" i="15" s="1"/>
  <c r="M21" i="7"/>
  <c r="L22" i="7"/>
  <c r="G5" i="6"/>
  <c r="M19" i="7"/>
  <c r="E18" i="4" s="1"/>
  <c r="M20" i="7"/>
  <c r="E19" i="4" s="1"/>
  <c r="K22" i="7"/>
  <c r="G22" i="7" l="1"/>
  <c r="M22" i="7"/>
  <c r="H11" i="11"/>
  <c r="I11" i="11" s="1"/>
  <c r="E20" i="4"/>
  <c r="E21" i="4" s="1"/>
  <c r="H89" i="23"/>
  <c r="H87" i="23"/>
  <c r="F86" i="23"/>
  <c r="F85" i="23"/>
  <c r="F84" i="23"/>
  <c r="F83" i="23"/>
  <c r="F82" i="23"/>
  <c r="F81" i="23"/>
  <c r="F80" i="23"/>
  <c r="F79" i="23"/>
  <c r="F78" i="23"/>
  <c r="F77" i="23"/>
  <c r="H70" i="23"/>
  <c r="H68" i="23"/>
  <c r="F67" i="23"/>
  <c r="F66" i="23"/>
  <c r="F65" i="23"/>
  <c r="F64" i="23"/>
  <c r="F63" i="23"/>
  <c r="F62" i="23"/>
  <c r="F61" i="23"/>
  <c r="F60" i="23"/>
  <c r="F59" i="23"/>
  <c r="F58" i="23"/>
  <c r="Q49" i="23"/>
  <c r="P49" i="23"/>
  <c r="E49" i="23"/>
  <c r="D49" i="23"/>
  <c r="C49" i="23"/>
  <c r="J45" i="23"/>
  <c r="I45" i="23"/>
  <c r="H45" i="23"/>
  <c r="F45" i="23"/>
  <c r="E86" i="23" s="1"/>
  <c r="J44" i="23"/>
  <c r="I44" i="23"/>
  <c r="H44" i="23"/>
  <c r="F44" i="23"/>
  <c r="E85" i="23" s="1"/>
  <c r="J43" i="23"/>
  <c r="I43" i="23"/>
  <c r="H43" i="23"/>
  <c r="F43" i="23"/>
  <c r="E84" i="23" s="1"/>
  <c r="J42" i="23"/>
  <c r="I42" i="23"/>
  <c r="H42" i="23"/>
  <c r="F42" i="23"/>
  <c r="E83" i="23" s="1"/>
  <c r="J41" i="23"/>
  <c r="I41" i="23"/>
  <c r="H41" i="23"/>
  <c r="F41" i="23"/>
  <c r="E82" i="23" s="1"/>
  <c r="J40" i="23"/>
  <c r="I40" i="23"/>
  <c r="H40" i="23"/>
  <c r="F40" i="23"/>
  <c r="E81" i="23" s="1"/>
  <c r="J39" i="23"/>
  <c r="I39" i="23"/>
  <c r="H39" i="23"/>
  <c r="F39" i="23"/>
  <c r="E80" i="23" s="1"/>
  <c r="J38" i="23"/>
  <c r="I38" i="23"/>
  <c r="H38" i="23"/>
  <c r="F38" i="23"/>
  <c r="E79" i="23" s="1"/>
  <c r="J37" i="23"/>
  <c r="I37" i="23"/>
  <c r="H37" i="23"/>
  <c r="F37" i="23"/>
  <c r="E78" i="23" s="1"/>
  <c r="J36" i="23"/>
  <c r="I36" i="23"/>
  <c r="H36" i="23"/>
  <c r="F36" i="23"/>
  <c r="E77" i="23" s="1"/>
  <c r="R24" i="23"/>
  <c r="Q24" i="23"/>
  <c r="F31" i="23"/>
  <c r="E31" i="23"/>
  <c r="D31" i="23"/>
  <c r="C31" i="23"/>
  <c r="L27" i="23"/>
  <c r="K27" i="23"/>
  <c r="J27" i="23"/>
  <c r="I27" i="23"/>
  <c r="G27" i="23"/>
  <c r="G28" i="23" s="1"/>
  <c r="L26" i="23"/>
  <c r="K26" i="23"/>
  <c r="J26" i="23"/>
  <c r="I26" i="23"/>
  <c r="G26" i="23"/>
  <c r="E66" i="23" s="1"/>
  <c r="L25" i="23"/>
  <c r="K25" i="23"/>
  <c r="J25" i="23"/>
  <c r="I25" i="23"/>
  <c r="G25" i="23"/>
  <c r="E65" i="23" s="1"/>
  <c r="L24" i="23"/>
  <c r="K24" i="23"/>
  <c r="J24" i="23"/>
  <c r="I24" i="23"/>
  <c r="G24" i="23"/>
  <c r="E64" i="23" s="1"/>
  <c r="L23" i="23"/>
  <c r="K23" i="23"/>
  <c r="J23" i="23"/>
  <c r="I23" i="23"/>
  <c r="G23" i="23"/>
  <c r="E63" i="23" s="1"/>
  <c r="L22" i="23"/>
  <c r="K22" i="23"/>
  <c r="J22" i="23"/>
  <c r="I22" i="23"/>
  <c r="G22" i="23"/>
  <c r="E62" i="23" s="1"/>
  <c r="L21" i="23"/>
  <c r="K21" i="23"/>
  <c r="J21" i="23"/>
  <c r="I21" i="23"/>
  <c r="G21" i="23"/>
  <c r="E61" i="23" s="1"/>
  <c r="L20" i="23"/>
  <c r="K20" i="23"/>
  <c r="J20" i="23"/>
  <c r="I20" i="23"/>
  <c r="G20" i="23"/>
  <c r="E60" i="23" s="1"/>
  <c r="L19" i="23"/>
  <c r="K19" i="23"/>
  <c r="J19" i="23"/>
  <c r="I19" i="23"/>
  <c r="G19" i="23"/>
  <c r="E59" i="23" s="1"/>
  <c r="L18" i="23"/>
  <c r="K18" i="23"/>
  <c r="J18" i="23"/>
  <c r="I18" i="23"/>
  <c r="G18" i="23"/>
  <c r="E13" i="23"/>
  <c r="D13" i="23"/>
  <c r="C13" i="23"/>
  <c r="F49" i="23" l="1"/>
  <c r="G30" i="23"/>
  <c r="G29" i="23"/>
  <c r="E10" i="11" s="1"/>
  <c r="E9" i="11"/>
  <c r="H10" i="11"/>
  <c r="K41" i="23"/>
  <c r="C82" i="23" s="1"/>
  <c r="G82" i="23" s="1"/>
  <c r="M24" i="23"/>
  <c r="C64" i="23" s="1"/>
  <c r="G64" i="23" s="1"/>
  <c r="M21" i="23"/>
  <c r="C61" i="23" s="1"/>
  <c r="G61" i="23" s="1"/>
  <c r="M22" i="23"/>
  <c r="C62" i="23" s="1"/>
  <c r="G62" i="23" s="1"/>
  <c r="K39" i="23"/>
  <c r="C80" i="23" s="1"/>
  <c r="G80" i="23" s="1"/>
  <c r="M25" i="23"/>
  <c r="C65" i="23" s="1"/>
  <c r="G65" i="23" s="1"/>
  <c r="K37" i="23"/>
  <c r="C78" i="23" s="1"/>
  <c r="G78" i="23" s="1"/>
  <c r="K43" i="23"/>
  <c r="C84" i="23" s="1"/>
  <c r="G84" i="23" s="1"/>
  <c r="M19" i="23"/>
  <c r="C59" i="23" s="1"/>
  <c r="G59" i="23" s="1"/>
  <c r="M26" i="23"/>
  <c r="C66" i="23" s="1"/>
  <c r="G66" i="23" s="1"/>
  <c r="M27" i="23"/>
  <c r="C67" i="23" s="1"/>
  <c r="E67" i="23"/>
  <c r="G31" i="23"/>
  <c r="E58" i="23"/>
  <c r="M23" i="23"/>
  <c r="C63" i="23" s="1"/>
  <c r="G63" i="23" s="1"/>
  <c r="M20" i="23"/>
  <c r="C60" i="23" s="1"/>
  <c r="G60" i="23" s="1"/>
  <c r="K31" i="23"/>
  <c r="K44" i="23"/>
  <c r="C85" i="23" s="1"/>
  <c r="G85" i="23" s="1"/>
  <c r="L31" i="23"/>
  <c r="H49" i="23"/>
  <c r="K42" i="23"/>
  <c r="C83" i="23" s="1"/>
  <c r="G83" i="23" s="1"/>
  <c r="I49" i="23"/>
  <c r="J49" i="23"/>
  <c r="K38" i="23"/>
  <c r="C79" i="23" s="1"/>
  <c r="G79" i="23" s="1"/>
  <c r="I31" i="23"/>
  <c r="J31" i="23"/>
  <c r="K45" i="23"/>
  <c r="F46" i="23"/>
  <c r="K40" i="23"/>
  <c r="C81" i="23" s="1"/>
  <c r="G81" i="23" s="1"/>
  <c r="M18" i="23"/>
  <c r="K36" i="23"/>
  <c r="F9" i="11" l="1"/>
  <c r="F10" i="11"/>
  <c r="E11" i="11"/>
  <c r="F11" i="11" s="1"/>
  <c r="J11" i="11" s="1"/>
  <c r="F48" i="23"/>
  <c r="F47" i="23"/>
  <c r="G67" i="23"/>
  <c r="G68" i="23" s="1"/>
  <c r="M28" i="23"/>
  <c r="B4" i="2"/>
  <c r="C77" i="23"/>
  <c r="G77" i="23" s="1"/>
  <c r="C58" i="23"/>
  <c r="G58" i="23" s="1"/>
  <c r="K46" i="23"/>
  <c r="C86" i="23"/>
  <c r="G86" i="23" s="1"/>
  <c r="E12" i="11" l="1"/>
  <c r="F12" i="11"/>
  <c r="K48" i="23"/>
  <c r="K47" i="23"/>
  <c r="K49" i="23" s="1"/>
  <c r="G72" i="23"/>
  <c r="G70" i="23"/>
  <c r="B6" i="2" s="1"/>
  <c r="M30" i="23"/>
  <c r="M29" i="23"/>
  <c r="M31" i="23" s="1"/>
  <c r="G91" i="23"/>
  <c r="G89" i="23"/>
  <c r="D20" i="4" s="1"/>
  <c r="G87" i="23"/>
  <c r="B7" i="2" l="1"/>
  <c r="G71" i="23"/>
  <c r="G90" i="23"/>
  <c r="D18" i="4"/>
  <c r="D21" i="4" s="1"/>
  <c r="F49" i="7"/>
  <c r="E49" i="7"/>
  <c r="D49" i="7"/>
  <c r="C49" i="7"/>
  <c r="G10" i="11" l="1"/>
  <c r="I10" i="11" s="1"/>
  <c r="J10" i="11" s="1"/>
  <c r="G7" i="7" l="1"/>
  <c r="G8" i="7"/>
  <c r="G9" i="7" l="1"/>
  <c r="M41" i="22" l="1"/>
  <c r="G6" i="7" l="1"/>
  <c r="G11" i="7" l="1"/>
  <c r="D22" i="5"/>
  <c r="D21" i="5"/>
  <c r="D20" i="5"/>
  <c r="D19" i="5"/>
  <c r="D18" i="5"/>
  <c r="D17" i="5"/>
  <c r="D16" i="5"/>
  <c r="C22" i="5"/>
  <c r="C21" i="5"/>
  <c r="C20" i="5"/>
  <c r="C19" i="5"/>
  <c r="C18" i="5"/>
  <c r="C17" i="5"/>
  <c r="C16" i="5"/>
  <c r="C11" i="6" s="1"/>
  <c r="J67" i="13"/>
  <c r="K67" i="13" s="1"/>
  <c r="B67" i="13"/>
  <c r="J66" i="13"/>
  <c r="K66" i="13" s="1"/>
  <c r="B66" i="13"/>
  <c r="J65" i="13"/>
  <c r="K65" i="13" s="1"/>
  <c r="B65" i="13"/>
  <c r="J64" i="13"/>
  <c r="K64" i="13" s="1"/>
  <c r="B64" i="13"/>
  <c r="J63" i="13"/>
  <c r="K63" i="13" s="1"/>
  <c r="B63" i="13"/>
  <c r="J62" i="13"/>
  <c r="K62" i="13" s="1"/>
  <c r="B62" i="13"/>
  <c r="J61" i="13"/>
  <c r="K61" i="13" s="1"/>
  <c r="B61" i="13"/>
  <c r="J60" i="13"/>
  <c r="K60" i="13" s="1"/>
  <c r="B60" i="13"/>
  <c r="J59" i="13"/>
  <c r="K59" i="13" s="1"/>
  <c r="B59" i="13"/>
  <c r="J58" i="13"/>
  <c r="K58" i="13" s="1"/>
  <c r="B58" i="13"/>
  <c r="J57" i="13"/>
  <c r="K57" i="13" s="1"/>
  <c r="B57" i="13"/>
  <c r="J56" i="13"/>
  <c r="K56" i="13" s="1"/>
  <c r="B56" i="13"/>
  <c r="J55" i="13"/>
  <c r="K55" i="13" s="1"/>
  <c r="B55" i="13"/>
  <c r="J54" i="13"/>
  <c r="K54" i="13" s="1"/>
  <c r="B54" i="13"/>
  <c r="J53" i="13"/>
  <c r="K53" i="13" s="1"/>
  <c r="B53" i="13"/>
  <c r="J52" i="13"/>
  <c r="K52" i="13" s="1"/>
  <c r="B52" i="13"/>
  <c r="J51" i="13"/>
  <c r="K51" i="13" s="1"/>
  <c r="B51" i="13"/>
  <c r="J50" i="13"/>
  <c r="K50" i="13" s="1"/>
  <c r="B50" i="13"/>
  <c r="J49" i="13"/>
  <c r="K49" i="13" s="1"/>
  <c r="B49" i="13"/>
  <c r="J48" i="13"/>
  <c r="K48" i="13" s="1"/>
  <c r="B48" i="13"/>
  <c r="J47" i="13"/>
  <c r="K47" i="13" s="1"/>
  <c r="B47" i="13"/>
  <c r="J46" i="13"/>
  <c r="K46" i="13" s="1"/>
  <c r="B46" i="13"/>
  <c r="R45" i="13"/>
  <c r="J45" i="13"/>
  <c r="K45" i="13" s="1"/>
  <c r="B45" i="13"/>
  <c r="Q44" i="13"/>
  <c r="P44" i="13"/>
  <c r="O44" i="13"/>
  <c r="N44" i="13"/>
  <c r="J44" i="13"/>
  <c r="K44" i="13" s="1"/>
  <c r="B44" i="13"/>
  <c r="J43" i="13"/>
  <c r="K43" i="13" s="1"/>
  <c r="B43" i="13"/>
  <c r="J42" i="13"/>
  <c r="K42" i="13" s="1"/>
  <c r="B42" i="13"/>
  <c r="J41" i="13"/>
  <c r="K41" i="13" s="1"/>
  <c r="B41" i="13"/>
  <c r="J40" i="13"/>
  <c r="K40" i="13" s="1"/>
  <c r="B40" i="13"/>
  <c r="Q39" i="13"/>
  <c r="P39" i="13"/>
  <c r="O39" i="13"/>
  <c r="N39" i="13"/>
  <c r="J39" i="13"/>
  <c r="K39" i="13" s="1"/>
  <c r="B39" i="13"/>
  <c r="Q38" i="13"/>
  <c r="P38" i="13"/>
  <c r="O38" i="13"/>
  <c r="N38" i="13"/>
  <c r="N46" i="13" s="1"/>
  <c r="J38" i="13"/>
  <c r="K38" i="13" s="1"/>
  <c r="B38" i="13"/>
  <c r="Q37" i="13"/>
  <c r="P37" i="13"/>
  <c r="O37" i="13"/>
  <c r="N37" i="13"/>
  <c r="J37" i="13"/>
  <c r="K37" i="13" s="1"/>
  <c r="B37" i="13"/>
  <c r="J36" i="13"/>
  <c r="K36" i="13" s="1"/>
  <c r="B36" i="13"/>
  <c r="J35" i="13"/>
  <c r="K35" i="13" s="1"/>
  <c r="B35" i="13"/>
  <c r="J34" i="13"/>
  <c r="K34" i="13" s="1"/>
  <c r="B34" i="13"/>
  <c r="J33" i="13"/>
  <c r="K33" i="13" s="1"/>
  <c r="B33" i="13"/>
  <c r="J32" i="13"/>
  <c r="K32" i="13" s="1"/>
  <c r="B32" i="13"/>
  <c r="J31" i="13"/>
  <c r="K31" i="13" s="1"/>
  <c r="B31" i="13"/>
  <c r="J30" i="13"/>
  <c r="K30" i="13" s="1"/>
  <c r="B30" i="13"/>
  <c r="J29" i="13"/>
  <c r="K29" i="13" s="1"/>
  <c r="B29" i="13"/>
  <c r="J28" i="13"/>
  <c r="K28" i="13" s="1"/>
  <c r="B28" i="13"/>
  <c r="J27" i="13"/>
  <c r="K27" i="13" s="1"/>
  <c r="B27" i="13"/>
  <c r="J26" i="13"/>
  <c r="K26" i="13" s="1"/>
  <c r="B26" i="13"/>
  <c r="J25" i="13"/>
  <c r="K25" i="13" s="1"/>
  <c r="B25" i="13"/>
  <c r="J24" i="13"/>
  <c r="K24" i="13" s="1"/>
  <c r="B24" i="13"/>
  <c r="J23" i="13"/>
  <c r="K23" i="13" s="1"/>
  <c r="B23" i="13"/>
  <c r="J22" i="13"/>
  <c r="K22" i="13" s="1"/>
  <c r="B22" i="13"/>
  <c r="J21" i="13"/>
  <c r="K21" i="13" s="1"/>
  <c r="B21" i="13"/>
  <c r="J20" i="13"/>
  <c r="K20" i="13" s="1"/>
  <c r="B20" i="13"/>
  <c r="J19" i="13"/>
  <c r="K19" i="13" s="1"/>
  <c r="B19" i="13"/>
  <c r="J18" i="13"/>
  <c r="K18" i="13" s="1"/>
  <c r="B18" i="13"/>
  <c r="J17" i="13"/>
  <c r="K17" i="13" s="1"/>
  <c r="B17" i="13"/>
  <c r="J16" i="13"/>
  <c r="K16" i="13" s="1"/>
  <c r="B16" i="13"/>
  <c r="J15" i="13"/>
  <c r="K15" i="13" s="1"/>
  <c r="B15" i="13"/>
  <c r="J14" i="13"/>
  <c r="K14" i="13" s="1"/>
  <c r="B14" i="13"/>
  <c r="J13" i="13"/>
  <c r="K13" i="13" s="1"/>
  <c r="B13" i="13"/>
  <c r="J12" i="13"/>
  <c r="K12" i="13" s="1"/>
  <c r="B12" i="13"/>
  <c r="J11" i="13"/>
  <c r="K11" i="13" s="1"/>
  <c r="B11" i="13"/>
  <c r="J10" i="13"/>
  <c r="K10" i="13" s="1"/>
  <c r="B10" i="13"/>
  <c r="J9" i="13"/>
  <c r="K9" i="13" s="1"/>
  <c r="B9" i="13"/>
  <c r="J8" i="13"/>
  <c r="K8" i="13" s="1"/>
  <c r="B8" i="13"/>
  <c r="J7" i="13"/>
  <c r="K7" i="13" s="1"/>
  <c r="B7" i="13"/>
  <c r="J6" i="13"/>
  <c r="K6" i="13" s="1"/>
  <c r="B6" i="13"/>
  <c r="J5" i="13"/>
  <c r="K5" i="13" s="1"/>
  <c r="B5" i="13"/>
  <c r="J4" i="13"/>
  <c r="K4" i="13" s="1"/>
  <c r="B4" i="13"/>
  <c r="N41" i="13" l="1"/>
  <c r="N43" i="13" s="1"/>
  <c r="P41" i="13"/>
  <c r="P42" i="13" s="1"/>
  <c r="Q40" i="13"/>
  <c r="Q46" i="13"/>
  <c r="P46" i="13"/>
  <c r="O46" i="13"/>
  <c r="O41" i="13"/>
  <c r="O43" i="13" s="1"/>
  <c r="O40" i="13"/>
  <c r="R44" i="13"/>
  <c r="N48" i="13"/>
  <c r="R37" i="13" s="1"/>
  <c r="N40" i="13"/>
  <c r="P40" i="13"/>
  <c r="Q41" i="13"/>
  <c r="N42" i="13" l="1"/>
  <c r="O42" i="13"/>
  <c r="P43" i="13"/>
  <c r="N47" i="13"/>
  <c r="N50" i="13" s="1"/>
  <c r="N52" i="13" s="1"/>
  <c r="Q43" i="13"/>
  <c r="Q42" i="13"/>
  <c r="N49" i="13" l="1"/>
  <c r="R42" i="13" s="1"/>
  <c r="N51" i="13" l="1"/>
  <c r="I22" i="14" l="1"/>
  <c r="M21" i="14" s="1"/>
  <c r="H22" i="14"/>
  <c r="L21" i="14" s="1"/>
  <c r="J21" i="14"/>
  <c r="K21" i="14" s="1"/>
  <c r="J20" i="14"/>
  <c r="K20" i="14" s="1"/>
  <c r="J19" i="14"/>
  <c r="K19" i="14" s="1"/>
  <c r="M18" i="14"/>
  <c r="J18" i="14"/>
  <c r="K18" i="14" s="1"/>
  <c r="J17" i="14"/>
  <c r="K17" i="14" s="1"/>
  <c r="M16" i="14"/>
  <c r="J16" i="14"/>
  <c r="K16" i="14" s="1"/>
  <c r="M15" i="14"/>
  <c r="J15" i="14"/>
  <c r="K15" i="14" s="1"/>
  <c r="M14" i="14"/>
  <c r="J14" i="14"/>
  <c r="K14" i="14" s="1"/>
  <c r="M13" i="14"/>
  <c r="J13" i="14"/>
  <c r="K13" i="14" s="1"/>
  <c r="M12" i="14"/>
  <c r="J12" i="14"/>
  <c r="K12" i="14" s="1"/>
  <c r="J11" i="14"/>
  <c r="K11" i="14" s="1"/>
  <c r="M10" i="14"/>
  <c r="J10" i="14"/>
  <c r="K10" i="14" s="1"/>
  <c r="M9" i="14"/>
  <c r="J9" i="14"/>
  <c r="K9" i="14" s="1"/>
  <c r="M8" i="14"/>
  <c r="J8" i="14"/>
  <c r="K8" i="14" s="1"/>
  <c r="A8" i="14"/>
  <c r="B8" i="14" s="1"/>
  <c r="M7" i="14"/>
  <c r="J7" i="14"/>
  <c r="K7" i="14" s="1"/>
  <c r="B7" i="14"/>
  <c r="L9" i="14" l="1"/>
  <c r="M11" i="14"/>
  <c r="L13" i="14"/>
  <c r="M20" i="14"/>
  <c r="L11" i="14"/>
  <c r="L15" i="14"/>
  <c r="L17" i="14"/>
  <c r="L7" i="14"/>
  <c r="L8" i="14"/>
  <c r="L12" i="14"/>
  <c r="L16" i="14"/>
  <c r="M17" i="14"/>
  <c r="M19" i="14"/>
  <c r="L10" i="14"/>
  <c r="L14" i="14"/>
  <c r="K22" i="14"/>
  <c r="M4" i="14"/>
  <c r="N4" i="14" s="1"/>
  <c r="A9" i="14"/>
  <c r="L18" i="14"/>
  <c r="L19" i="14"/>
  <c r="L20" i="14"/>
  <c r="M22" i="14" l="1"/>
  <c r="L22" i="14"/>
  <c r="L24" i="14" s="1"/>
  <c r="B3" i="14" s="1"/>
  <c r="B9" i="14"/>
  <c r="A10" i="14"/>
  <c r="K4" i="14"/>
  <c r="C8" i="14" l="1"/>
  <c r="D7" i="14"/>
  <c r="C7" i="14"/>
  <c r="D8" i="14"/>
  <c r="B10" i="14"/>
  <c r="A11" i="14"/>
  <c r="D9" i="14"/>
  <c r="C9" i="14"/>
  <c r="B11" i="14" l="1"/>
  <c r="A12" i="14"/>
  <c r="D10" i="14"/>
  <c r="C10" i="14"/>
  <c r="B12" i="14" l="1"/>
  <c r="A13" i="14"/>
  <c r="D11" i="14"/>
  <c r="C11" i="14"/>
  <c r="B13" i="14" l="1"/>
  <c r="A14" i="14"/>
  <c r="D12" i="14"/>
  <c r="C12" i="14"/>
  <c r="B14" i="14" l="1"/>
  <c r="A15" i="14"/>
  <c r="C13" i="14"/>
  <c r="D13" i="14"/>
  <c r="B15" i="14" l="1"/>
  <c r="A16" i="14"/>
  <c r="D14" i="14"/>
  <c r="C14" i="14"/>
  <c r="C15" i="14" l="1"/>
  <c r="D15" i="14"/>
  <c r="B16" i="14"/>
  <c r="A17" i="14"/>
  <c r="B17" i="14" l="1"/>
  <c r="A18" i="14"/>
  <c r="D16" i="14"/>
  <c r="C16" i="14"/>
  <c r="D17" i="14" l="1"/>
  <c r="C17" i="14"/>
  <c r="B18" i="14"/>
  <c r="A19" i="14"/>
  <c r="B19" i="14" l="1"/>
  <c r="A20" i="14"/>
  <c r="D18" i="14"/>
  <c r="C18" i="14"/>
  <c r="D19" i="14" l="1"/>
  <c r="C19" i="14"/>
  <c r="B20" i="14"/>
  <c r="A21" i="14"/>
  <c r="B21" i="14" l="1"/>
  <c r="A22" i="14"/>
  <c r="D20" i="14"/>
  <c r="C20" i="14"/>
  <c r="D21" i="14" l="1"/>
  <c r="C21" i="14"/>
  <c r="A23" i="14"/>
  <c r="B22" i="14"/>
  <c r="D22" i="14" l="1"/>
  <c r="C22" i="14"/>
  <c r="A24" i="14"/>
  <c r="B23" i="14"/>
  <c r="D23" i="14" l="1"/>
  <c r="C23" i="14"/>
  <c r="A25" i="14"/>
  <c r="B24" i="14"/>
  <c r="D24" i="14" l="1"/>
  <c r="C24" i="14"/>
  <c r="B25" i="14"/>
  <c r="A26" i="14"/>
  <c r="B26" i="14" l="1"/>
  <c r="A27" i="14"/>
  <c r="D25" i="14"/>
  <c r="C25" i="14"/>
  <c r="D26" i="14" l="1"/>
  <c r="C26" i="14"/>
  <c r="B27" i="14"/>
  <c r="A28" i="14"/>
  <c r="B28" i="14" l="1"/>
  <c r="A29" i="14"/>
  <c r="D27" i="14"/>
  <c r="C27" i="14"/>
  <c r="D28" i="14" l="1"/>
  <c r="C28" i="14"/>
  <c r="B29" i="14"/>
  <c r="A30" i="14"/>
  <c r="B30" i="14" l="1"/>
  <c r="A31" i="14"/>
  <c r="D29" i="14"/>
  <c r="C29" i="14"/>
  <c r="D30" i="14" l="1"/>
  <c r="C30" i="14"/>
  <c r="B31" i="14"/>
  <c r="A32" i="14"/>
  <c r="B32" i="14" l="1"/>
  <c r="A33" i="14"/>
  <c r="D31" i="14"/>
  <c r="C31" i="14"/>
  <c r="D32" i="14" l="1"/>
  <c r="C32" i="14"/>
  <c r="B33" i="14"/>
  <c r="A34" i="14"/>
  <c r="B34" i="14" l="1"/>
  <c r="A35" i="14"/>
  <c r="D33" i="14"/>
  <c r="C33" i="14"/>
  <c r="D34" i="14" l="1"/>
  <c r="C34" i="14"/>
  <c r="B35" i="14"/>
  <c r="A36" i="14"/>
  <c r="B36" i="14" l="1"/>
  <c r="A37" i="14"/>
  <c r="D35" i="14"/>
  <c r="C35" i="14"/>
  <c r="D36" i="14" l="1"/>
  <c r="C36" i="14"/>
  <c r="B37" i="14"/>
  <c r="A38" i="14"/>
  <c r="B38" i="14" l="1"/>
  <c r="A39" i="14"/>
  <c r="D37" i="14"/>
  <c r="C37" i="14"/>
  <c r="D38" i="14" l="1"/>
  <c r="C38" i="14"/>
  <c r="B39" i="14"/>
  <c r="A40" i="14"/>
  <c r="B40" i="14" l="1"/>
  <c r="A41" i="14"/>
  <c r="D39" i="14"/>
  <c r="C39" i="14"/>
  <c r="D40" i="14" l="1"/>
  <c r="C40" i="14"/>
  <c r="B41" i="14"/>
  <c r="A42" i="14"/>
  <c r="B42" i="14" l="1"/>
  <c r="A43" i="14"/>
  <c r="D41" i="14"/>
  <c r="C41" i="14"/>
  <c r="D42" i="14" l="1"/>
  <c r="C42" i="14"/>
  <c r="B43" i="14"/>
  <c r="A44" i="14"/>
  <c r="B44" i="14" l="1"/>
  <c r="A45" i="14"/>
  <c r="D43" i="14"/>
  <c r="C43" i="14"/>
  <c r="D44" i="14" l="1"/>
  <c r="C44" i="14"/>
  <c r="B45" i="14"/>
  <c r="A46" i="14"/>
  <c r="B46" i="14" l="1"/>
  <c r="A47" i="14"/>
  <c r="D45" i="14"/>
  <c r="C45" i="14"/>
  <c r="D46" i="14" l="1"/>
  <c r="C46" i="14"/>
  <c r="B47" i="14"/>
  <c r="A48" i="14"/>
  <c r="B48" i="14" l="1"/>
  <c r="A49" i="14"/>
  <c r="D47" i="14"/>
  <c r="C47" i="14"/>
  <c r="D48" i="14" l="1"/>
  <c r="C48" i="14"/>
  <c r="B49" i="14"/>
  <c r="A50" i="14"/>
  <c r="B50" i="14" l="1"/>
  <c r="A51" i="14"/>
  <c r="D49" i="14"/>
  <c r="C49" i="14"/>
  <c r="D50" i="14" l="1"/>
  <c r="C50" i="14"/>
  <c r="B51" i="14"/>
  <c r="A52" i="14"/>
  <c r="B52" i="14" l="1"/>
  <c r="A53" i="14"/>
  <c r="D51" i="14"/>
  <c r="C51" i="14"/>
  <c r="D52" i="14" l="1"/>
  <c r="C52" i="14"/>
  <c r="B53" i="14"/>
  <c r="A54" i="14"/>
  <c r="B54" i="14" l="1"/>
  <c r="A55" i="14"/>
  <c r="D53" i="14"/>
  <c r="C53" i="14"/>
  <c r="D54" i="14" l="1"/>
  <c r="C54" i="14"/>
  <c r="B55" i="14"/>
  <c r="A56" i="14"/>
  <c r="B56" i="14" l="1"/>
  <c r="A57" i="14"/>
  <c r="D55" i="14"/>
  <c r="C55" i="14"/>
  <c r="D56" i="14" l="1"/>
  <c r="C56" i="14"/>
  <c r="B57" i="14"/>
  <c r="A58" i="14"/>
  <c r="B58" i="14" l="1"/>
  <c r="A59" i="14"/>
  <c r="D57" i="14"/>
  <c r="C57" i="14"/>
  <c r="D58" i="14" l="1"/>
  <c r="C58" i="14"/>
  <c r="B59" i="14"/>
  <c r="A60" i="14"/>
  <c r="B60" i="14" l="1"/>
  <c r="A61" i="14"/>
  <c r="D59" i="14"/>
  <c r="C59" i="14"/>
  <c r="D60" i="14" l="1"/>
  <c r="C60" i="14"/>
  <c r="B61" i="14"/>
  <c r="A62" i="14"/>
  <c r="B62" i="14" l="1"/>
  <c r="A63" i="14"/>
  <c r="D61" i="14"/>
  <c r="C61" i="14"/>
  <c r="D62" i="14" l="1"/>
  <c r="C62" i="14"/>
  <c r="B63" i="14"/>
  <c r="A64" i="14"/>
  <c r="B64" i="14" l="1"/>
  <c r="A65" i="14"/>
  <c r="D63" i="14"/>
  <c r="C63" i="14"/>
  <c r="D64" i="14" l="1"/>
  <c r="C64" i="14"/>
  <c r="B65" i="14"/>
  <c r="A66" i="14"/>
  <c r="B66" i="14" l="1"/>
  <c r="A67" i="14"/>
  <c r="D65" i="14"/>
  <c r="C65" i="14"/>
  <c r="D66" i="14" l="1"/>
  <c r="C66" i="14"/>
  <c r="B67" i="14"/>
  <c r="A68" i="14"/>
  <c r="B68" i="14" l="1"/>
  <c r="A69" i="14"/>
  <c r="D67" i="14"/>
  <c r="C67" i="14"/>
  <c r="D68" i="14" l="1"/>
  <c r="C68" i="14"/>
  <c r="B69" i="14"/>
  <c r="A70" i="14"/>
  <c r="B70" i="14" l="1"/>
  <c r="A71" i="14"/>
  <c r="D69" i="14"/>
  <c r="C69" i="14"/>
  <c r="D70" i="14" l="1"/>
  <c r="C70" i="14"/>
  <c r="B71" i="14"/>
  <c r="A72" i="14"/>
  <c r="B72" i="14" l="1"/>
  <c r="A73" i="14"/>
  <c r="D71" i="14"/>
  <c r="C71" i="14"/>
  <c r="D72" i="14" l="1"/>
  <c r="C72" i="14"/>
  <c r="B73" i="14"/>
  <c r="A74" i="14"/>
  <c r="B74" i="14" l="1"/>
  <c r="A75" i="14"/>
  <c r="D73" i="14"/>
  <c r="C73" i="14"/>
  <c r="D74" i="14" l="1"/>
  <c r="C74" i="14"/>
  <c r="B75" i="14"/>
  <c r="A76" i="14"/>
  <c r="B76" i="14" l="1"/>
  <c r="A77" i="14"/>
  <c r="D75" i="14"/>
  <c r="C75" i="14"/>
  <c r="D76" i="14" l="1"/>
  <c r="C76" i="14"/>
  <c r="B77" i="14"/>
  <c r="A78" i="14"/>
  <c r="B78" i="14" l="1"/>
  <c r="A79" i="14"/>
  <c r="D77" i="14"/>
  <c r="C77" i="14"/>
  <c r="D78" i="14" l="1"/>
  <c r="C78" i="14"/>
  <c r="B79" i="14"/>
  <c r="A80" i="14"/>
  <c r="B80" i="14" l="1"/>
  <c r="A81" i="14"/>
  <c r="D79" i="14"/>
  <c r="C79" i="14"/>
  <c r="D80" i="14" l="1"/>
  <c r="C80" i="14"/>
  <c r="B81" i="14"/>
  <c r="A82" i="14"/>
  <c r="B82" i="14" l="1"/>
  <c r="A83" i="14"/>
  <c r="D81" i="14"/>
  <c r="C81" i="14"/>
  <c r="D82" i="14" l="1"/>
  <c r="C82" i="14"/>
  <c r="B83" i="14"/>
  <c r="A84" i="14"/>
  <c r="B84" i="14" l="1"/>
  <c r="A85" i="14"/>
  <c r="B85" i="14" s="1"/>
  <c r="D83" i="14"/>
  <c r="C83" i="14"/>
  <c r="D84" i="14" l="1"/>
  <c r="C84" i="14"/>
  <c r="D85" i="14"/>
  <c r="C85" i="14"/>
  <c r="H9" i="11" l="1"/>
  <c r="H12" i="11" s="1"/>
  <c r="E11" i="7"/>
  <c r="C14" i="6" l="1"/>
  <c r="F14" i="6" s="1"/>
  <c r="C13" i="6"/>
  <c r="F13" i="6" s="1"/>
  <c r="M7" i="6" s="1"/>
  <c r="C12" i="6"/>
  <c r="F12" i="6" s="1"/>
  <c r="L7" i="6" s="1"/>
  <c r="F11" i="6"/>
  <c r="K7" i="6" s="1"/>
  <c r="G9" i="11"/>
  <c r="F17" i="5"/>
  <c r="D30" i="7" s="1"/>
  <c r="F18" i="5"/>
  <c r="F30" i="7" s="1"/>
  <c r="F19" i="5"/>
  <c r="E30" i="7" s="1"/>
  <c r="F20" i="5"/>
  <c r="F21" i="5"/>
  <c r="F22" i="5"/>
  <c r="F16" i="5"/>
  <c r="C30" i="7" s="1"/>
  <c r="L28" i="7" l="1"/>
  <c r="L29" i="7"/>
  <c r="L30" i="7"/>
  <c r="K30" i="7"/>
  <c r="K28" i="7"/>
  <c r="K29" i="7"/>
  <c r="I9" i="11"/>
  <c r="G12" i="11"/>
  <c r="J28" i="7"/>
  <c r="J30" i="7"/>
  <c r="G30" i="7"/>
  <c r="B8" i="3" s="1"/>
  <c r="N5" i="6"/>
  <c r="N6" i="6"/>
  <c r="N7" i="6"/>
  <c r="O7" i="6" s="1"/>
  <c r="D8" i="3" s="1"/>
  <c r="G8" i="3" s="1"/>
  <c r="C6" i="2" s="1"/>
  <c r="E29" i="7"/>
  <c r="E28" i="7"/>
  <c r="J29" i="7"/>
  <c r="J31" i="7" s="1"/>
  <c r="D31" i="7"/>
  <c r="D29" i="7"/>
  <c r="D28" i="7"/>
  <c r="K6" i="6"/>
  <c r="K5" i="6"/>
  <c r="C29" i="7"/>
  <c r="C28" i="7"/>
  <c r="F29" i="7"/>
  <c r="F28" i="7"/>
  <c r="L6" i="6"/>
  <c r="L5" i="6"/>
  <c r="L31" i="7"/>
  <c r="M5" i="6"/>
  <c r="M6" i="6"/>
  <c r="E31" i="7"/>
  <c r="C31" i="7"/>
  <c r="J9" i="11" l="1"/>
  <c r="J12" i="11" s="1"/>
  <c r="I12" i="11"/>
  <c r="K8" i="6"/>
  <c r="N8" i="6"/>
  <c r="M30" i="7"/>
  <c r="G20" i="4" s="1"/>
  <c r="K31" i="7"/>
  <c r="F6" i="2"/>
  <c r="G6" i="2" s="1"/>
  <c r="M8" i="6"/>
  <c r="L8" i="6"/>
  <c r="O6" i="6"/>
  <c r="D7" i="3" s="1"/>
  <c r="G28" i="7"/>
  <c r="B6" i="3" s="1"/>
  <c r="G29" i="7"/>
  <c r="B7" i="3" s="1"/>
  <c r="M28" i="7"/>
  <c r="M29" i="7"/>
  <c r="O5" i="6"/>
  <c r="E8" i="4" l="1"/>
  <c r="F8" i="4" s="1"/>
  <c r="H20" i="4"/>
  <c r="B9" i="3"/>
  <c r="M31" i="7"/>
  <c r="G7" i="3"/>
  <c r="C5" i="2" s="1"/>
  <c r="E7" i="4"/>
  <c r="F7" i="4" s="1"/>
  <c r="G19" i="4"/>
  <c r="H19" i="4" s="1"/>
  <c r="D6" i="3"/>
  <c r="D9" i="3" s="1"/>
  <c r="O8" i="6"/>
  <c r="G18" i="4"/>
  <c r="E6" i="4"/>
  <c r="H18" i="4" l="1"/>
  <c r="H21" i="4" s="1"/>
  <c r="G21" i="4"/>
  <c r="G6" i="3"/>
  <c r="G9" i="3" s="1"/>
  <c r="E9" i="4"/>
  <c r="F5" i="2"/>
  <c r="G5" i="2" s="1"/>
  <c r="F6" i="4"/>
  <c r="F9" i="4" s="1"/>
  <c r="C4" i="2" l="1"/>
  <c r="C7" i="2" s="1"/>
  <c r="F4" i="2"/>
  <c r="F7" i="2" s="1"/>
  <c r="G4" i="2" l="1"/>
  <c r="G7" i="2" s="1"/>
  <c r="F11" i="7" l="1"/>
  <c r="F31" i="7" l="1"/>
  <c r="G31" i="7" s="1"/>
  <c r="G8" i="6"/>
</calcChain>
</file>

<file path=xl/sharedStrings.xml><?xml version="1.0" encoding="utf-8"?>
<sst xmlns="http://schemas.openxmlformats.org/spreadsheetml/2006/main" count="3903" uniqueCount="314">
  <si>
    <t>Years</t>
  </si>
  <si>
    <t>Estimated baseline emissions or removals (tCO2e)</t>
  </si>
  <si>
    <t>Estimated project emissions or removals (tCO2e)</t>
  </si>
  <si>
    <t>Estimated leakage emissions (tCO2e)</t>
  </si>
  <si>
    <t>Risk buffer (%)</t>
  </si>
  <si>
    <t>Deductions for AFOLU pooled buffer account</t>
  </si>
  <si>
    <t>Estimated net GHG emission reductions or removals (tCO2e)</t>
  </si>
  <si>
    <t>ΔCP</t>
  </si>
  <si>
    <t>ΔCP,DefPA,i,t</t>
  </si>
  <si>
    <t>ΔCP,Deg,i,t</t>
  </si>
  <si>
    <t>ΔCP,DistPA,i,t</t>
  </si>
  <si>
    <t>GHGP-E,i,t</t>
  </si>
  <si>
    <t>ΔCP,Enh,i,t</t>
  </si>
  <si>
    <t>t CO2-e</t>
  </si>
  <si>
    <t>Net greenhouse gas emissions within the project area under the project scenario</t>
  </si>
  <si>
    <t>Net carbon stock change as a result of deforestation in the project area in the project
case in stratum i at time t;</t>
  </si>
  <si>
    <t>Net carbon stock change as a result of degradation in the project area in the project case
in stratum i at time t;</t>
  </si>
  <si>
    <t>Net carbon stock change as a result of natural disturbance in the project area in the
project case in stratum i at time t</t>
  </si>
  <si>
    <t>Greenhouse gas emissions as a result of deforestation and degradation activities within
the project area in the project case in stratum i in year t;</t>
  </si>
  <si>
    <t>Net carbon stock change as a result of forest growth and sequestration during the project
in areas projected to be deforested in the baseline2 in stratum i at time t;</t>
  </si>
  <si>
    <t>Project area</t>
  </si>
  <si>
    <t>ΔCP,DefLB,i,t</t>
  </si>
  <si>
    <t>Forest loss by stratum</t>
  </si>
  <si>
    <t>Class</t>
  </si>
  <si>
    <t>Area</t>
  </si>
  <si>
    <t>Alluvial forest</t>
  </si>
  <si>
    <t>PNCAZ</t>
  </si>
  <si>
    <t>Hill forest</t>
  </si>
  <si>
    <t>Aguajal</t>
  </si>
  <si>
    <t>Mountain forest</t>
  </si>
  <si>
    <t>Humedales – vegetacion inundable</t>
  </si>
  <si>
    <t>Leakage belt outside of PNCAZ</t>
  </si>
  <si>
    <t>Vegetacion de tierra firme</t>
  </si>
  <si>
    <t>Anthropogenic (forest)</t>
  </si>
  <si>
    <t>Historical area-weighted average carbon stock for the converted (non forest) baseline, cultivation and pasture</t>
  </si>
  <si>
    <t>Post forest conversion project area and leakage belt</t>
  </si>
  <si>
    <t>Bosques Alluviales</t>
  </si>
  <si>
    <t>Bosques Colinsos</t>
  </si>
  <si>
    <t>Bosques Montañosos</t>
  </si>
  <si>
    <t>Humedales</t>
  </si>
  <si>
    <t>YEAR</t>
  </si>
  <si>
    <t>Alluvial</t>
  </si>
  <si>
    <t>Montanosos</t>
  </si>
  <si>
    <t>TOTAL</t>
  </si>
  <si>
    <t>Project area change by vegetation types</t>
  </si>
  <si>
    <t>Total all classes</t>
  </si>
  <si>
    <t>Project Area Forest type</t>
  </si>
  <si>
    <t>ha</t>
  </si>
  <si>
    <t>TOTAL Change</t>
  </si>
  <si>
    <t>Leakage Belt change by vegetation types</t>
  </si>
  <si>
    <t>Year</t>
  </si>
  <si>
    <t xml:space="preserve">CBSL </t>
  </si>
  <si>
    <t>CWP</t>
  </si>
  <si>
    <t>ΔCTOT</t>
  </si>
  <si>
    <t xml:space="preserve">ΔCP,DefPA,i,t </t>
  </si>
  <si>
    <r>
      <t>ADefLB,u,i,t</t>
    </r>
    <r>
      <rPr>
        <sz val="10"/>
        <color rgb="FF000000"/>
        <rFont val="Arial"/>
        <family val="2"/>
      </rPr>
      <t xml:space="preserve"> (ha)</t>
    </r>
  </si>
  <si>
    <t>ADefPA,u,i,t (ha)</t>
  </si>
  <si>
    <t>ΔCpools,Def,u,i,t</t>
  </si>
  <si>
    <t>CBSL,i</t>
  </si>
  <si>
    <t>CWP,i</t>
  </si>
  <si>
    <t>Carbon stock in all pools in the baseline case in stratum</t>
  </si>
  <si>
    <t xml:space="preserve">CP,post,u,I </t>
  </si>
  <si>
    <t>Stratum</t>
  </si>
  <si>
    <t>Carbon stock sequestered in wood products from harvests in stratum i; t CO2-e ha-1</t>
  </si>
  <si>
    <t>Carbon stock in all pools in post-deforestation land use u in stratum i; t CO2-e ha-1 *</t>
  </si>
  <si>
    <t>* Historical area-weighted average carbon stock for the converted (non forest) baseline, cultivation and pasture</t>
  </si>
  <si>
    <t xml:space="preserve">Total </t>
  </si>
  <si>
    <t>Hill forest (Collinsos)</t>
  </si>
  <si>
    <t>Humedales (Aguajal)</t>
  </si>
  <si>
    <t xml:space="preserve">Aguajal (Humedales) </t>
  </si>
  <si>
    <t>Collinsos (Hill forest)</t>
  </si>
  <si>
    <t>ΔCP,Dist,q,i,t</t>
  </si>
  <si>
    <t>ADistPA,q,i,t (ha)</t>
  </si>
  <si>
    <t>CP,Dist,q,i</t>
  </si>
  <si>
    <t>CDist, WP,q,i</t>
  </si>
  <si>
    <t>Anthropogenic Forest</t>
  </si>
  <si>
    <t xml:space="preserve">Humedales-vegetacion inundable </t>
  </si>
  <si>
    <t xml:space="preserve">Vegetacion de Tierra Firme </t>
  </si>
  <si>
    <t>Anthropogenic change</t>
  </si>
  <si>
    <t>Natural disturbance</t>
  </si>
  <si>
    <t>Collinsos</t>
  </si>
  <si>
    <t xml:space="preserve">TOTAL </t>
  </si>
  <si>
    <r>
      <t>A</t>
    </r>
    <r>
      <rPr>
        <i/>
        <vertAlign val="subscript"/>
        <sz val="10"/>
        <color theme="1"/>
        <rFont val="Arial"/>
        <family val="2"/>
      </rPr>
      <t>unplanned,i,t</t>
    </r>
    <r>
      <rPr>
        <sz val="10"/>
        <color rgb="FF000000"/>
        <rFont val="Arial"/>
        <family val="2"/>
      </rPr>
      <t xml:space="preserve"> (ha)</t>
    </r>
  </si>
  <si>
    <r>
      <t>C</t>
    </r>
    <r>
      <rPr>
        <i/>
        <vertAlign val="subscript"/>
        <sz val="10"/>
        <color rgb="FF000000"/>
        <rFont val="Arial"/>
        <family val="2"/>
      </rPr>
      <t>BSL</t>
    </r>
    <r>
      <rPr>
        <sz val="10"/>
        <color rgb="FF000000"/>
        <rFont val="Arial"/>
        <family val="2"/>
      </rPr>
      <t xml:space="preserve">  (t CO2-e)</t>
    </r>
  </si>
  <si>
    <t>Calculated in imagery analysis</t>
  </si>
  <si>
    <r>
      <t xml:space="preserve">Area of recorded deforestation in the project area stratum </t>
    </r>
    <r>
      <rPr>
        <i/>
        <sz val="12"/>
        <color theme="1"/>
        <rFont val="Calibri"/>
        <family val="2"/>
      </rPr>
      <t>i</t>
    </r>
    <r>
      <rPr>
        <sz val="12"/>
        <color theme="1"/>
        <rFont val="Calibri"/>
        <family val="2"/>
      </rPr>
      <t xml:space="preserve"> converted to land use </t>
    </r>
    <r>
      <rPr>
        <i/>
        <sz val="12"/>
        <color theme="1"/>
        <rFont val="Calibri"/>
        <family val="2"/>
      </rPr>
      <t>u</t>
    </r>
    <r>
      <rPr>
        <sz val="12"/>
        <color theme="1"/>
        <rFont val="Calibri"/>
        <family val="2"/>
      </rPr>
      <t xml:space="preserve"> at time </t>
    </r>
    <r>
      <rPr>
        <i/>
        <sz val="12"/>
        <color theme="1"/>
        <rFont val="Calibri"/>
        <family val="2"/>
      </rPr>
      <t>t</t>
    </r>
    <r>
      <rPr>
        <sz val="12"/>
        <color theme="1"/>
        <rFont val="Calibri"/>
        <family val="2"/>
      </rPr>
      <t>; ha</t>
    </r>
  </si>
  <si>
    <t>equation</t>
  </si>
  <si>
    <t>Derived in PD Sections 3.1 and 3.3</t>
  </si>
  <si>
    <t>M-MON 4</t>
  </si>
  <si>
    <t>LK-ASU 1</t>
  </si>
  <si>
    <r>
      <t>Δ</t>
    </r>
    <r>
      <rPr>
        <i/>
        <sz val="10"/>
        <color theme="1"/>
        <rFont val="Arial"/>
        <family val="2"/>
      </rPr>
      <t>C</t>
    </r>
    <r>
      <rPr>
        <i/>
        <vertAlign val="subscript"/>
        <sz val="10"/>
        <color theme="1"/>
        <rFont val="Arial"/>
        <family val="2"/>
      </rPr>
      <t>BSL,LK,unplanned</t>
    </r>
  </si>
  <si>
    <r>
      <t>t CO</t>
    </r>
    <r>
      <rPr>
        <vertAlign val="subscript"/>
        <sz val="10"/>
        <color theme="1"/>
        <rFont val="Arial"/>
        <family val="2"/>
      </rPr>
      <t>2</t>
    </r>
  </si>
  <si>
    <r>
      <t>Δ</t>
    </r>
    <r>
      <rPr>
        <i/>
        <sz val="10"/>
        <color theme="1"/>
        <rFont val="Arial"/>
        <family val="2"/>
      </rPr>
      <t>C</t>
    </r>
    <r>
      <rPr>
        <i/>
        <vertAlign val="subscript"/>
        <sz val="10"/>
        <color theme="1"/>
        <rFont val="Arial"/>
        <family val="2"/>
      </rPr>
      <t>P,DefLB,i,t</t>
    </r>
  </si>
  <si>
    <r>
      <t>∆C</t>
    </r>
    <r>
      <rPr>
        <i/>
        <vertAlign val="subscript"/>
        <sz val="10"/>
        <color theme="1"/>
        <rFont val="Arial"/>
        <family val="2"/>
      </rPr>
      <t>LK-ASU-LB</t>
    </r>
  </si>
  <si>
    <t>Derived in PD Section 3.1</t>
  </si>
  <si>
    <t>LK-ASU 7</t>
  </si>
  <si>
    <t>LK-ASU 8</t>
  </si>
  <si>
    <t>LK-ASU 9</t>
  </si>
  <si>
    <t>Derived in PD in Section 3.3</t>
  </si>
  <si>
    <r>
      <t>PROP</t>
    </r>
    <r>
      <rPr>
        <i/>
        <vertAlign val="subscript"/>
        <sz val="10"/>
        <color theme="1"/>
        <rFont val="Arial"/>
        <family val="2"/>
      </rPr>
      <t>IMM</t>
    </r>
  </si>
  <si>
    <r>
      <t>A</t>
    </r>
    <r>
      <rPr>
        <i/>
        <vertAlign val="subscript"/>
        <sz val="10"/>
        <color theme="1"/>
        <rFont val="Arial"/>
        <family val="2"/>
      </rPr>
      <t>BSL,PA,unplanned,t</t>
    </r>
  </si>
  <si>
    <r>
      <t>A</t>
    </r>
    <r>
      <rPr>
        <i/>
        <vertAlign val="subscript"/>
        <sz val="10"/>
        <color theme="1"/>
        <rFont val="Arial"/>
        <family val="2"/>
      </rPr>
      <t>LK-IMM,t</t>
    </r>
  </si>
  <si>
    <r>
      <t>A</t>
    </r>
    <r>
      <rPr>
        <i/>
        <vertAlign val="subscript"/>
        <sz val="10"/>
        <color theme="1"/>
        <rFont val="Arial"/>
        <family val="2"/>
      </rPr>
      <t>DefPA,i,t</t>
    </r>
  </si>
  <si>
    <r>
      <t>A</t>
    </r>
    <r>
      <rPr>
        <i/>
        <vertAlign val="subscript"/>
        <sz val="10"/>
        <color theme="1"/>
        <rFont val="Arial"/>
        <family val="2"/>
      </rPr>
      <t>DefLB,i,t</t>
    </r>
  </si>
  <si>
    <r>
      <t>A</t>
    </r>
    <r>
      <rPr>
        <i/>
        <vertAlign val="subscript"/>
        <sz val="10"/>
        <color theme="1"/>
        <rFont val="Arial"/>
        <family val="2"/>
      </rPr>
      <t>LK-ACT-IMM,t</t>
    </r>
  </si>
  <si>
    <r>
      <t>A</t>
    </r>
    <r>
      <rPr>
        <i/>
        <vertAlign val="subscript"/>
        <sz val="10"/>
        <color theme="1"/>
        <rFont val="Arial"/>
        <family val="2"/>
      </rPr>
      <t>LK-OLB,t</t>
    </r>
  </si>
  <si>
    <r>
      <t>PROP</t>
    </r>
    <r>
      <rPr>
        <i/>
        <vertAlign val="subscript"/>
        <sz val="10"/>
        <color theme="1"/>
        <rFont val="Arial"/>
        <family val="2"/>
      </rPr>
      <t>CS</t>
    </r>
  </si>
  <si>
    <r>
      <t>∆C</t>
    </r>
    <r>
      <rPr>
        <i/>
        <vertAlign val="subscript"/>
        <sz val="10"/>
        <color theme="1"/>
        <rFont val="Arial"/>
        <family val="2"/>
      </rPr>
      <t>LK-ASU,OLB</t>
    </r>
  </si>
  <si>
    <t/>
  </si>
  <si>
    <t>9m</t>
  </si>
  <si>
    <t>8m</t>
  </si>
  <si>
    <t>7m</t>
  </si>
  <si>
    <t>6m</t>
  </si>
  <si>
    <t>5m</t>
  </si>
  <si>
    <t>4m</t>
  </si>
  <si>
    <t>3m</t>
  </si>
  <si>
    <t>2m</t>
  </si>
  <si>
    <t>20m</t>
  </si>
  <si>
    <t>1m</t>
  </si>
  <si>
    <t>19m</t>
  </si>
  <si>
    <t>18m</t>
  </si>
  <si>
    <t>17m</t>
  </si>
  <si>
    <t>16m</t>
  </si>
  <si>
    <t>15m</t>
  </si>
  <si>
    <t>95% CI as % of mean</t>
  </si>
  <si>
    <t>14m</t>
  </si>
  <si>
    <t>90% CI as % of mean</t>
  </si>
  <si>
    <t>13m</t>
  </si>
  <si>
    <t>95% CI</t>
  </si>
  <si>
    <t>12m</t>
  </si>
  <si>
    <t>90% CI</t>
  </si>
  <si>
    <t>11m</t>
  </si>
  <si>
    <t>mean</t>
  </si>
  <si>
    <t>10m</t>
  </si>
  <si>
    <t>stan error</t>
  </si>
  <si>
    <t>5h</t>
  </si>
  <si>
    <t>variance</t>
  </si>
  <si>
    <t>4h</t>
  </si>
  <si>
    <t>OVERALL STATS</t>
  </si>
  <si>
    <t>3h</t>
  </si>
  <si>
    <t>n</t>
  </si>
  <si>
    <t>2h</t>
  </si>
  <si>
    <t>1h</t>
  </si>
  <si>
    <t>9c</t>
  </si>
  <si>
    <t>8c</t>
  </si>
  <si>
    <t>CV(%)</t>
  </si>
  <si>
    <t>7c</t>
  </si>
  <si>
    <t>stan dev</t>
  </si>
  <si>
    <t>6C</t>
  </si>
  <si>
    <t>5c</t>
  </si>
  <si>
    <t>4c</t>
  </si>
  <si>
    <t>3c</t>
  </si>
  <si>
    <t>33c</t>
  </si>
  <si>
    <t>32c</t>
  </si>
  <si>
    <t>31c</t>
  </si>
  <si>
    <t>30c</t>
  </si>
  <si>
    <t>2c</t>
  </si>
  <si>
    <t>29c</t>
  </si>
  <si>
    <t>28c</t>
  </si>
  <si>
    <t>27c</t>
  </si>
  <si>
    <t>26c</t>
  </si>
  <si>
    <t>25c</t>
  </si>
  <si>
    <t>24c</t>
  </si>
  <si>
    <t>23c</t>
  </si>
  <si>
    <t>22c</t>
  </si>
  <si>
    <t>21c</t>
  </si>
  <si>
    <t>20c</t>
  </si>
  <si>
    <t>1c</t>
  </si>
  <si>
    <t>19c</t>
  </si>
  <si>
    <t>18c</t>
  </si>
  <si>
    <t>17c</t>
  </si>
  <si>
    <t>16c</t>
  </si>
  <si>
    <t>15c</t>
  </si>
  <si>
    <t>14c</t>
  </si>
  <si>
    <t>13c</t>
  </si>
  <si>
    <t>12c</t>
  </si>
  <si>
    <t>11c</t>
  </si>
  <si>
    <t>10c</t>
  </si>
  <si>
    <t>6a</t>
  </si>
  <si>
    <t>5a</t>
  </si>
  <si>
    <t>4a</t>
  </si>
  <si>
    <t>3a</t>
  </si>
  <si>
    <t>2a</t>
  </si>
  <si>
    <t>1a</t>
  </si>
  <si>
    <t>live and dead above- and belowground biomass C t C/ha</t>
  </si>
  <si>
    <t>t C/ha</t>
  </si>
  <si>
    <t>UTM E</t>
  </si>
  <si>
    <t>UTM N</t>
  </si>
  <si>
    <t>Cluster</t>
  </si>
  <si>
    <t>strata</t>
  </si>
  <si>
    <t>Hill Forest</t>
  </si>
  <si>
    <t>Area-weighted average</t>
  </si>
  <si>
    <t>DEAD WOOD TOTAL</t>
  </si>
  <si>
    <t>MADERA MUERTA EN PIE</t>
  </si>
  <si>
    <t>MADERA MUERTA CAIDA</t>
  </si>
  <si>
    <t>ARBOLES VIVOS EN PIE</t>
  </si>
  <si>
    <t>R^2=</t>
  </si>
  <si>
    <t>DF=13</t>
  </si>
  <si>
    <t>t=2.000</t>
  </si>
  <si>
    <t>residual stan dev</t>
  </si>
  <si>
    <t>MSE</t>
  </si>
  <si>
    <t>SQRT MSE</t>
  </si>
  <si>
    <t>R^2 analysis</t>
  </si>
  <si>
    <t>model</t>
  </si>
  <si>
    <t>95% C.I.</t>
  </si>
  <si>
    <t>OBSERVED</t>
  </si>
  <si>
    <t>RSS</t>
  </si>
  <si>
    <t>change pop</t>
  </si>
  <si>
    <t>change defor</t>
  </si>
  <si>
    <t>plus</t>
  </si>
  <si>
    <t>minus</t>
  </si>
  <si>
    <t>change def</t>
  </si>
  <si>
    <t>predicted</t>
  </si>
  <si>
    <t>y-yhat^2</t>
  </si>
  <si>
    <t>y^2</t>
  </si>
  <si>
    <t>x^2</t>
  </si>
  <si>
    <t>sum</t>
  </si>
  <si>
    <t>includes RRD subset 2 only (RRD subset 1, Huimbayoc, has a baseline rate of zero, thus uncertainty contribution = zero)</t>
  </si>
  <si>
    <t>from PD</t>
  </si>
  <si>
    <t>stocks</t>
  </si>
  <si>
    <t>population</t>
  </si>
  <si>
    <t>cumulative</t>
  </si>
  <si>
    <r>
      <t>C</t>
    </r>
    <r>
      <rPr>
        <i/>
        <vertAlign val="subscript"/>
        <sz val="11"/>
        <rFont val="Calibri"/>
        <family val="2"/>
      </rPr>
      <t>REDD, t *</t>
    </r>
  </si>
  <si>
    <t>year</t>
  </si>
  <si>
    <r>
      <t>Uncertainty</t>
    </r>
    <r>
      <rPr>
        <i/>
        <vertAlign val="subscript"/>
        <sz val="12"/>
        <color rgb="FF000000"/>
        <rFont val="Calibri"/>
        <family val="2"/>
      </rPr>
      <t>BSL,SS</t>
    </r>
  </si>
  <si>
    <t>total change</t>
  </si>
  <si>
    <t>modeled defor</t>
  </si>
  <si>
    <r>
      <t>Uncertainty</t>
    </r>
    <r>
      <rPr>
        <i/>
        <vertAlign val="subscript"/>
        <sz val="12"/>
        <color rgb="FF000000"/>
        <rFont val="Calibri"/>
        <family val="2"/>
      </rPr>
      <t>BSL,RATE,t</t>
    </r>
  </si>
  <si>
    <r>
      <t>Uncertainty</t>
    </r>
    <r>
      <rPr>
        <i/>
        <vertAlign val="subscript"/>
        <sz val="11"/>
        <color rgb="FF000000"/>
        <rFont val="Calibri"/>
        <family val="2"/>
      </rPr>
      <t>BSL,RATE,t*</t>
    </r>
    <r>
      <rPr>
        <sz val="11"/>
        <color rgb="FF000000"/>
        <rFont val="Calibri"/>
        <family val="2"/>
      </rPr>
      <t xml:space="preserve"> </t>
    </r>
  </si>
  <si>
    <r>
      <t>Uncertainty</t>
    </r>
    <r>
      <rPr>
        <i/>
        <vertAlign val="subscript"/>
        <sz val="11"/>
        <color rgb="FF000000"/>
        <rFont val="Calibri"/>
        <family val="2"/>
      </rPr>
      <t>BSL,t*</t>
    </r>
  </si>
  <si>
    <r>
      <t>C</t>
    </r>
    <r>
      <rPr>
        <i/>
        <vertAlign val="subscript"/>
        <sz val="11"/>
        <color rgb="FF000000"/>
        <rFont val="Calibri"/>
        <family val="2"/>
      </rPr>
      <t>REDD_ERROR,t*</t>
    </r>
  </si>
  <si>
    <t>adjustment</t>
  </si>
  <si>
    <t xml:space="preserve">Stratum </t>
  </si>
  <si>
    <t xml:space="preserve">If:   </t>
  </si>
  <si>
    <r>
      <t>A</t>
    </r>
    <r>
      <rPr>
        <i/>
        <vertAlign val="subscript"/>
        <sz val="12"/>
        <color theme="1"/>
        <rFont val="Calibri"/>
        <family val="2"/>
        <scheme val="minor"/>
      </rPr>
      <t xml:space="preserve">LK-OLB,t  </t>
    </r>
    <r>
      <rPr>
        <u/>
        <sz val="12"/>
        <color theme="1"/>
        <rFont val="Calibri"/>
        <family val="2"/>
        <scheme val="minor"/>
      </rPr>
      <t>&lt;</t>
    </r>
    <r>
      <rPr>
        <sz val="12"/>
        <color theme="1"/>
        <rFont val="Calibri"/>
        <family val="2"/>
        <scheme val="minor"/>
      </rPr>
      <t xml:space="preserve"> 0 </t>
    </r>
    <r>
      <rPr>
        <sz val="12"/>
        <color theme="1"/>
        <rFont val="Wingdings"/>
        <charset val="2"/>
      </rPr>
      <t>à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Leakage outside the Leakage Belt has not occurred.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</si>
  <si>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If  leakage outside the Leakage Belt has not occurred: </t>
    </r>
  </si>
  <si>
    <t>LK-ASU 10</t>
  </si>
  <si>
    <t>Adjusted_ CREDD, t</t>
  </si>
  <si>
    <t>Cumulative total net GHG emission reductions through time t adjusted to account 
for uncertainty; t CO2-e</t>
  </si>
  <si>
    <t>CREDD,t</t>
  </si>
  <si>
    <t>CREDD _ ERRORt*</t>
  </si>
  <si>
    <t>Cumulative uncertainty for REDD project activity through time t; %</t>
  </si>
  <si>
    <t>Cumulative total net GHG emission reductions through time t; t CO2-e</t>
  </si>
  <si>
    <t>eq 11 X-UNC</t>
  </si>
  <si>
    <r>
      <t>VCU</t>
    </r>
    <r>
      <rPr>
        <i/>
        <vertAlign val="subscript"/>
        <sz val="12"/>
        <color theme="1"/>
        <rFont val="Calibri"/>
        <family val="2"/>
        <scheme val="minor"/>
      </rPr>
      <t>t</t>
    </r>
    <r>
      <rPr>
        <sz val="12"/>
        <color theme="1"/>
        <rFont val="Calibri"/>
        <family val="2"/>
        <scheme val="minor"/>
      </rPr>
      <t xml:space="preserve"> </t>
    </r>
  </si>
  <si>
    <r>
      <t>Adjusted_C</t>
    </r>
    <r>
      <rPr>
        <i/>
        <vertAlign val="subscript"/>
        <sz val="12"/>
        <color theme="1"/>
        <rFont val="Calibri"/>
        <family val="2"/>
        <scheme val="minor"/>
      </rPr>
      <t>REDD,t2</t>
    </r>
    <r>
      <rPr>
        <sz val="12"/>
        <color theme="1"/>
        <rFont val="Calibri"/>
        <family val="2"/>
        <scheme val="minor"/>
      </rPr>
      <t xml:space="preserve"> </t>
    </r>
  </si>
  <si>
    <r>
      <t>Adjusted_C</t>
    </r>
    <r>
      <rPr>
        <i/>
        <vertAlign val="subscript"/>
        <sz val="12"/>
        <color theme="1"/>
        <rFont val="Calibri"/>
        <family val="2"/>
        <scheme val="minor"/>
      </rPr>
      <t>REDD,t1</t>
    </r>
    <r>
      <rPr>
        <sz val="12"/>
        <color theme="1"/>
        <rFont val="Calibri"/>
        <family val="2"/>
        <scheme val="minor"/>
      </rPr>
      <t xml:space="preserve"> </t>
    </r>
  </si>
  <si>
    <r>
      <t>Buffer</t>
    </r>
    <r>
      <rPr>
        <i/>
        <vertAlign val="subscript"/>
        <sz val="12"/>
        <color theme="1"/>
        <rFont val="Calibri"/>
        <family val="2"/>
        <scheme val="minor"/>
      </rPr>
      <t>TOTAL</t>
    </r>
  </si>
  <si>
    <t>Leakage Belt</t>
  </si>
  <si>
    <t>aboveground biomass</t>
  </si>
  <si>
    <t>belowground biomass</t>
  </si>
  <si>
    <t>dead wood</t>
  </si>
  <si>
    <r>
      <t>AGB t CO</t>
    </r>
    <r>
      <rPr>
        <b/>
        <vertAlign val="subscript"/>
        <sz val="10"/>
        <color rgb="FF000000"/>
        <rFont val="Arial"/>
        <family val="2"/>
      </rPr>
      <t>2</t>
    </r>
    <r>
      <rPr>
        <b/>
        <sz val="10"/>
        <color rgb="FF000000"/>
        <rFont val="Arial"/>
        <family val="2"/>
      </rPr>
      <t xml:space="preserve">/ha </t>
    </r>
  </si>
  <si>
    <r>
      <t>BGB t CO</t>
    </r>
    <r>
      <rPr>
        <b/>
        <vertAlign val="subscript"/>
        <sz val="10"/>
        <color rgb="FF000000"/>
        <rFont val="Arial"/>
        <family val="2"/>
      </rPr>
      <t>2</t>
    </r>
    <r>
      <rPr>
        <b/>
        <sz val="10"/>
        <color rgb="FF000000"/>
        <rFont val="Arial"/>
        <family val="2"/>
      </rPr>
      <t xml:space="preserve">/ha </t>
    </r>
  </si>
  <si>
    <r>
      <t>DW t CO</t>
    </r>
    <r>
      <rPr>
        <b/>
        <vertAlign val="subscript"/>
        <sz val="10"/>
        <color rgb="FF000000"/>
        <rFont val="Arial"/>
        <family val="2"/>
      </rPr>
      <t>2</t>
    </r>
    <r>
      <rPr>
        <b/>
        <sz val="10"/>
        <color rgb="FF000000"/>
        <rFont val="Arial"/>
        <family val="2"/>
      </rPr>
      <t xml:space="preserve">/ha </t>
    </r>
  </si>
  <si>
    <t>ALL POOLS</t>
  </si>
  <si>
    <t>AGB  t C/ha</t>
  </si>
  <si>
    <t>BGB  t C/ha</t>
  </si>
  <si>
    <t>AGB only</t>
  </si>
  <si>
    <t>ΔCP,DefPA,i,t (tCO2)</t>
  </si>
  <si>
    <t>ΔCP,DefLB,i,t (tCO2)</t>
  </si>
  <si>
    <t>Derived from forest inventory estimates</t>
  </si>
  <si>
    <r>
      <t>A</t>
    </r>
    <r>
      <rPr>
        <i/>
        <vertAlign val="subscript"/>
        <sz val="10"/>
        <color theme="1"/>
        <rFont val="Arial"/>
        <family val="2"/>
      </rPr>
      <t>DefLB,u,i,t</t>
    </r>
  </si>
  <si>
    <r>
      <t>Δ</t>
    </r>
    <r>
      <rPr>
        <i/>
        <sz val="10"/>
        <color theme="1"/>
        <rFont val="Arial"/>
        <family val="2"/>
      </rPr>
      <t>C</t>
    </r>
    <r>
      <rPr>
        <i/>
        <vertAlign val="subscript"/>
        <sz val="10"/>
        <color theme="1"/>
        <rFont val="Arial"/>
        <family val="2"/>
      </rPr>
      <t>pools,Def,u,i,t</t>
    </r>
  </si>
  <si>
    <r>
      <t>t CO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/ha</t>
    </r>
  </si>
  <si>
    <t>Varies by strata</t>
  </si>
  <si>
    <t>Project Area</t>
  </si>
  <si>
    <t>Net greenhouse gas emissions in the baseline from unplanned deforestation; t CO2-e</t>
  </si>
  <si>
    <t>BGB &amp; DW</t>
  </si>
  <si>
    <t>population projections</t>
  </si>
  <si>
    <t>Growth</t>
  </si>
  <si>
    <t>ALTO BIAVO</t>
  </si>
  <si>
    <t>E</t>
  </si>
  <si>
    <t>BAJO BIAVO</t>
  </si>
  <si>
    <t>CAMPANILLA</t>
  </si>
  <si>
    <t>HUALLAGA</t>
  </si>
  <si>
    <t>L</t>
  </si>
  <si>
    <t>NUEVO PROGRESO</t>
  </si>
  <si>
    <t>PAJARILLO</t>
  </si>
  <si>
    <t>SAN CRISTOBAL</t>
  </si>
  <si>
    <t>SHAMBOYACU</t>
  </si>
  <si>
    <t>TINGO DE PONASA</t>
  </si>
  <si>
    <t>TRES UNIDOS</t>
  </si>
  <si>
    <t>CHAZUTA</t>
  </si>
  <si>
    <t>CONTAMANA</t>
  </si>
  <si>
    <t>HUIMBAYOC</t>
  </si>
  <si>
    <t>INAHUAYA</t>
  </si>
  <si>
    <t>PAMPA HERMOSA</t>
  </si>
  <si>
    <t>VARGAS GUERRA</t>
  </si>
  <si>
    <t>deforestation projections</t>
  </si>
  <si>
    <t>Total</t>
  </si>
  <si>
    <t>Total 2019-20</t>
  </si>
  <si>
    <t>Leakage Belt Non-Forest</t>
  </si>
  <si>
    <t>Humedales &amp; Inundated Forest</t>
  </si>
  <si>
    <t>Tierra Firme Forest</t>
  </si>
  <si>
    <t>TOTAL CHANGE HA</t>
  </si>
  <si>
    <t>Reference region</t>
  </si>
  <si>
    <t>Leakage belt</t>
  </si>
  <si>
    <t>Project area baseline by vegetation types</t>
  </si>
  <si>
    <t>Emissions from aboveground biomass</t>
  </si>
  <si>
    <t>CBSL</t>
  </si>
  <si>
    <t>Aunplanned,i,t (ha)</t>
  </si>
  <si>
    <t>CBSL  (t CO2-e)</t>
  </si>
  <si>
    <t>total</t>
  </si>
  <si>
    <t>Leakage belt baseline by vegetation types</t>
  </si>
  <si>
    <r>
      <t xml:space="preserve">C </t>
    </r>
    <r>
      <rPr>
        <i/>
        <vertAlign val="subscript"/>
        <sz val="12"/>
        <color theme="1"/>
        <rFont val="Calibri"/>
        <family val="2"/>
        <scheme val="minor"/>
      </rPr>
      <t>post</t>
    </r>
  </si>
  <si>
    <r>
      <rPr>
        <i/>
        <sz val="12"/>
        <color theme="1"/>
        <rFont val="Calibri"/>
        <family val="2"/>
        <scheme val="minor"/>
      </rPr>
      <t>C</t>
    </r>
    <r>
      <rPr>
        <i/>
        <vertAlign val="subscript"/>
        <sz val="12"/>
        <color theme="1"/>
        <rFont val="Calibri"/>
        <family val="2"/>
        <scheme val="minor"/>
      </rPr>
      <t>TOT</t>
    </r>
  </si>
  <si>
    <t>pro-rated (project year = Aug-Aug)</t>
  </si>
  <si>
    <t>ending Dec 31 2020</t>
  </si>
  <si>
    <t>extension sub-total</t>
  </si>
  <si>
    <t>Total 2019-21</t>
  </si>
  <si>
    <t>Distrubance Areas</t>
  </si>
  <si>
    <t>Project area summary  2019-2021</t>
  </si>
  <si>
    <t>Assumed to be constant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</si>
</sst>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"/>
    <numFmt numFmtId="166" formatCode="0.0%"/>
    <numFmt numFmtId="167" formatCode="0.000"/>
    <numFmt numFmtId="168" formatCode="#,##0.0000000"/>
  </numFmts>
  <fonts count="4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vertAlign val="subscript"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sz val="10"/>
      <color rgb="FF000000"/>
      <name val="Arial"/>
      <family val="2"/>
    </font>
    <font>
      <i/>
      <vertAlign val="subscript"/>
      <sz val="10"/>
      <color rgb="FF000000"/>
      <name val="Arial"/>
      <family val="2"/>
    </font>
    <font>
      <i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vertAlign val="subscript"/>
      <sz val="10"/>
      <color theme="1"/>
      <name val="Arial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b/>
      <sz val="10"/>
      <color theme="1"/>
      <name val="Arial"/>
      <family val="2"/>
    </font>
    <font>
      <vertAlign val="subscript"/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Calibri"/>
      <family val="2"/>
    </font>
    <font>
      <b/>
      <i/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1"/>
      <name val="Calibri"/>
      <family val="2"/>
    </font>
    <font>
      <i/>
      <vertAlign val="subscript"/>
      <sz val="11"/>
      <name val="Calibri"/>
      <family val="2"/>
    </font>
    <font>
      <i/>
      <sz val="12"/>
      <color rgb="FF000000"/>
      <name val="Calibri"/>
      <family val="2"/>
    </font>
    <font>
      <i/>
      <vertAlign val="subscript"/>
      <sz val="12"/>
      <color rgb="FF000000"/>
      <name val="Calibri"/>
      <family val="2"/>
    </font>
    <font>
      <i/>
      <sz val="11"/>
      <color rgb="FF000000"/>
      <name val="Calibri"/>
      <family val="2"/>
    </font>
    <font>
      <i/>
      <vertAlign val="subscript"/>
      <sz val="11"/>
      <color rgb="FF000000"/>
      <name val="Calibri"/>
      <family val="2"/>
    </font>
    <font>
      <sz val="12"/>
      <color theme="1"/>
      <name val="Times New Roman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8"/>
      <color theme="1"/>
      <name val="Calibri"/>
      <family val="2"/>
      <scheme val="minor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C2D7E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</borders>
  <cellStyleXfs count="3">
    <xf numFmtId="0" fontId="0" fillId="0" borderId="0"/>
    <xf numFmtId="9" fontId="18" fillId="0" borderId="0" applyFont="0" applyFill="0" applyBorder="0" applyAlignment="0" applyProtection="0"/>
    <xf numFmtId="0" fontId="31" fillId="0" borderId="0"/>
  </cellStyleXfs>
  <cellXfs count="240">
    <xf numFmtId="0" fontId="0" fillId="0" borderId="0" xfId="0"/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0" fillId="0" borderId="8" xfId="0" applyBorder="1"/>
    <xf numFmtId="0" fontId="0" fillId="4" borderId="8" xfId="0" applyFill="1" applyBorder="1"/>
    <xf numFmtId="0" fontId="9" fillId="4" borderId="8" xfId="0" applyFont="1" applyFill="1" applyBorder="1"/>
    <xf numFmtId="0" fontId="5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4" borderId="8" xfId="0" applyFont="1" applyFill="1" applyBorder="1"/>
    <xf numFmtId="0" fontId="4" fillId="4" borderId="8" xfId="0" applyFont="1" applyFill="1" applyBorder="1"/>
    <xf numFmtId="0" fontId="0" fillId="5" borderId="8" xfId="0" applyFill="1" applyBorder="1"/>
    <xf numFmtId="0" fontId="0" fillId="0" borderId="8" xfId="0" applyBorder="1" applyAlignment="1">
      <alignment wrapText="1"/>
    </xf>
    <xf numFmtId="0" fontId="13" fillId="0" borderId="8" xfId="0" applyFont="1" applyBorder="1" applyAlignment="1">
      <alignment horizontal="left" vertical="top" wrapText="1"/>
    </xf>
    <xf numFmtId="0" fontId="1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vertical="top" wrapText="1"/>
    </xf>
    <xf numFmtId="0" fontId="5" fillId="3" borderId="15" xfId="0" applyFont="1" applyFill="1" applyBorder="1" applyAlignment="1">
      <alignment horizontal="center" wrapText="1"/>
    </xf>
    <xf numFmtId="0" fontId="5" fillId="3" borderId="14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14" xfId="0" applyFont="1" applyFill="1" applyBorder="1" applyAlignment="1">
      <alignment horizontal="center" vertical="top" wrapText="1"/>
    </xf>
    <xf numFmtId="0" fontId="6" fillId="3" borderId="15" xfId="0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4" fontId="0" fillId="0" borderId="14" xfId="0" applyNumberForma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164" fontId="5" fillId="0" borderId="14" xfId="0" applyNumberFormat="1" applyFont="1" applyBorder="1" applyAlignment="1">
      <alignment horizontal="center" vertical="top" wrapText="1"/>
    </xf>
    <xf numFmtId="0" fontId="5" fillId="3" borderId="12" xfId="0" applyFont="1" applyFill="1" applyBorder="1" applyAlignment="1">
      <alignment vertical="top" wrapText="1"/>
    </xf>
    <xf numFmtId="10" fontId="5" fillId="0" borderId="14" xfId="0" applyNumberFormat="1" applyFont="1" applyBorder="1" applyAlignment="1">
      <alignment horizontal="center" vertical="top" wrapText="1"/>
    </xf>
    <xf numFmtId="164" fontId="0" fillId="0" borderId="8" xfId="0" applyNumberFormat="1" applyBorder="1"/>
    <xf numFmtId="165" fontId="0" fillId="0" borderId="0" xfId="0" applyNumberFormat="1"/>
    <xf numFmtId="165" fontId="6" fillId="0" borderId="8" xfId="0" applyNumberFormat="1" applyFont="1" applyBorder="1"/>
    <xf numFmtId="0" fontId="5" fillId="4" borderId="8" xfId="0" applyFont="1" applyFill="1" applyBorder="1"/>
    <xf numFmtId="165" fontId="15" fillId="0" borderId="8" xfId="0" applyNumberFormat="1" applyFont="1" applyBorder="1"/>
    <xf numFmtId="0" fontId="5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4" borderId="8" xfId="0" applyNumberFormat="1" applyFont="1" applyFill="1" applyBorder="1" applyAlignment="1">
      <alignment horizontal="center" vertical="center" wrapText="1"/>
    </xf>
    <xf numFmtId="164" fontId="4" fillId="4" borderId="8" xfId="0" applyNumberFormat="1" applyFont="1" applyFill="1" applyBorder="1" applyAlignment="1">
      <alignment horizontal="center" vertical="center" wrapText="1"/>
    </xf>
    <xf numFmtId="164" fontId="6" fillId="4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4" borderId="8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8" xfId="0" applyFill="1" applyBorder="1" applyAlignment="1">
      <alignment horizontal="center" wrapText="1"/>
    </xf>
    <xf numFmtId="0" fontId="0" fillId="5" borderId="0" xfId="0" applyFill="1"/>
    <xf numFmtId="1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24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 wrapText="1"/>
    </xf>
    <xf numFmtId="165" fontId="0" fillId="0" borderId="0" xfId="0" applyNumberFormat="1" applyAlignment="1">
      <alignment horizontal="center" wrapText="1"/>
    </xf>
    <xf numFmtId="165" fontId="11" fillId="0" borderId="0" xfId="0" applyNumberFormat="1" applyFont="1" applyAlignment="1">
      <alignment horizontal="left"/>
    </xf>
    <xf numFmtId="165" fontId="0" fillId="0" borderId="24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165" fontId="20" fillId="0" borderId="0" xfId="0" applyNumberFormat="1" applyFont="1" applyAlignment="1">
      <alignment horizontal="center"/>
    </xf>
    <xf numFmtId="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/>
    <xf numFmtId="0" fontId="21" fillId="0" borderId="10" xfId="0" applyFont="1" applyBorder="1" applyAlignment="1">
      <alignment horizontal="center"/>
    </xf>
    <xf numFmtId="0" fontId="22" fillId="0" borderId="0" xfId="0" applyFont="1"/>
    <xf numFmtId="2" fontId="21" fillId="0" borderId="3" xfId="0" applyNumberFormat="1" applyFont="1" applyBorder="1" applyAlignment="1">
      <alignment horizontal="center"/>
    </xf>
    <xf numFmtId="0" fontId="23" fillId="0" borderId="0" xfId="0" applyFont="1"/>
    <xf numFmtId="167" fontId="0" fillId="8" borderId="0" xfId="0" applyNumberFormat="1" applyFill="1"/>
    <xf numFmtId="2" fontId="0" fillId="0" borderId="0" xfId="0" applyNumberFormat="1"/>
    <xf numFmtId="0" fontId="0" fillId="6" borderId="0" xfId="0" applyFill="1"/>
    <xf numFmtId="0" fontId="23" fillId="0" borderId="7" xfId="0" applyFont="1" applyBorder="1"/>
    <xf numFmtId="0" fontId="23" fillId="0" borderId="4" xfId="0" applyFont="1" applyBorder="1"/>
    <xf numFmtId="0" fontId="23" fillId="0" borderId="0" xfId="0" applyFont="1" applyAlignment="1">
      <alignment wrapText="1"/>
    </xf>
    <xf numFmtId="9" fontId="0" fillId="0" borderId="0" xfId="1" applyFont="1"/>
    <xf numFmtId="9" fontId="0" fillId="0" borderId="0" xfId="1" applyFont="1" applyFill="1"/>
    <xf numFmtId="0" fontId="0" fillId="0" borderId="1" xfId="0" applyBorder="1"/>
    <xf numFmtId="0" fontId="24" fillId="0" borderId="0" xfId="0" applyFont="1"/>
    <xf numFmtId="0" fontId="25" fillId="0" borderId="0" xfId="0" applyFont="1"/>
    <xf numFmtId="0" fontId="27" fillId="0" borderId="0" xfId="0" applyFont="1" applyAlignment="1">
      <alignment horizontal="right"/>
    </xf>
    <xf numFmtId="0" fontId="29" fillId="0" borderId="0" xfId="0" applyFont="1"/>
    <xf numFmtId="166" fontId="0" fillId="0" borderId="0" xfId="1" applyNumberFormat="1" applyFont="1"/>
    <xf numFmtId="9" fontId="0" fillId="0" borderId="0" xfId="0" applyNumberFormat="1"/>
    <xf numFmtId="164" fontId="0" fillId="0" borderId="8" xfId="0" applyNumberForma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0" fontId="32" fillId="0" borderId="0" xfId="0" applyFont="1" applyAlignment="1">
      <alignment horizontal="justify" vertical="center"/>
    </xf>
    <xf numFmtId="0" fontId="33" fillId="0" borderId="0" xfId="0" applyFont="1"/>
    <xf numFmtId="0" fontId="33" fillId="0" borderId="0" xfId="0" applyFont="1" applyAlignment="1">
      <alignment horizontal="justify" vertical="center"/>
    </xf>
    <xf numFmtId="0" fontId="37" fillId="0" borderId="0" xfId="0" applyFont="1" applyAlignment="1">
      <alignment horizontal="justify" vertical="center"/>
    </xf>
    <xf numFmtId="164" fontId="11" fillId="0" borderId="8" xfId="0" applyNumberFormat="1" applyFont="1" applyBorder="1"/>
    <xf numFmtId="0" fontId="5" fillId="5" borderId="8" xfId="0" applyFont="1" applyFill="1" applyBorder="1" applyAlignment="1">
      <alignment horizontal="center" wrapText="1"/>
    </xf>
    <xf numFmtId="0" fontId="11" fillId="0" borderId="0" xfId="0" applyFont="1"/>
    <xf numFmtId="3" fontId="0" fillId="0" borderId="0" xfId="0" applyNumberFormat="1"/>
    <xf numFmtId="4" fontId="4" fillId="0" borderId="0" xfId="0" applyNumberFormat="1" applyFont="1" applyAlignment="1">
      <alignment horizontal="right" vertical="center"/>
    </xf>
    <xf numFmtId="164" fontId="15" fillId="0" borderId="8" xfId="0" applyNumberFormat="1" applyFont="1" applyBorder="1" applyAlignment="1">
      <alignment horizontal="center" wrapText="1"/>
    </xf>
    <xf numFmtId="0" fontId="9" fillId="0" borderId="0" xfId="0" applyFont="1"/>
    <xf numFmtId="4" fontId="0" fillId="0" borderId="0" xfId="0" applyNumberFormat="1"/>
    <xf numFmtId="4" fontId="9" fillId="0" borderId="0" xfId="0" applyNumberFormat="1" applyFont="1"/>
    <xf numFmtId="4" fontId="10" fillId="0" borderId="0" xfId="0" applyNumberFormat="1" applyFont="1"/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/>
    <xf numFmtId="0" fontId="13" fillId="0" borderId="0" xfId="0" applyFont="1" applyAlignment="1">
      <alignment horizontal="left" vertical="center" wrapText="1"/>
    </xf>
    <xf numFmtId="164" fontId="15" fillId="0" borderId="8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65" fontId="0" fillId="0" borderId="8" xfId="0" applyNumberFormat="1" applyBorder="1"/>
    <xf numFmtId="4" fontId="17" fillId="0" borderId="14" xfId="0" applyNumberFormat="1" applyFont="1" applyBorder="1" applyAlignment="1">
      <alignment horizontal="center" wrapText="1"/>
    </xf>
    <xf numFmtId="0" fontId="0" fillId="0" borderId="0" xfId="0" applyAlignment="1">
      <alignment horizontal="right" vertical="center" wrapText="1" indent="1"/>
    </xf>
    <xf numFmtId="165" fontId="5" fillId="0" borderId="14" xfId="0" applyNumberFormat="1" applyFont="1" applyBorder="1" applyAlignment="1">
      <alignment horizontal="center" vertical="top" wrapText="1"/>
    </xf>
    <xf numFmtId="0" fontId="0" fillId="0" borderId="19" xfId="0" applyBorder="1"/>
    <xf numFmtId="0" fontId="39" fillId="0" borderId="0" xfId="0" applyFont="1" applyAlignment="1">
      <alignment horizontal="left" vertical="center" indent="5"/>
    </xf>
    <xf numFmtId="0" fontId="11" fillId="0" borderId="0" xfId="0" applyFont="1" applyAlignment="1">
      <alignment horizontal="right" vertical="center" wrapText="1" indent="1"/>
    </xf>
    <xf numFmtId="0" fontId="15" fillId="7" borderId="11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4" fontId="17" fillId="0" borderId="14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center" vertical="center" wrapText="1"/>
    </xf>
    <xf numFmtId="0" fontId="19" fillId="2" borderId="8" xfId="0" applyFont="1" applyFill="1" applyBorder="1" applyAlignment="1">
      <alignment vertical="top" wrapText="1"/>
    </xf>
    <xf numFmtId="0" fontId="5" fillId="0" borderId="8" xfId="0" applyFont="1" applyBorder="1" applyAlignment="1">
      <alignment wrapText="1"/>
    </xf>
    <xf numFmtId="3" fontId="5" fillId="0" borderId="8" xfId="0" applyNumberFormat="1" applyFont="1" applyBorder="1" applyAlignment="1">
      <alignment vertical="top" wrapText="1"/>
    </xf>
    <xf numFmtId="3" fontId="0" fillId="9" borderId="8" xfId="0" applyNumberFormat="1" applyFill="1" applyBorder="1"/>
    <xf numFmtId="165" fontId="0" fillId="0" borderId="8" xfId="0" applyNumberFormat="1" applyBorder="1" applyAlignment="1">
      <alignment horizontal="right"/>
    </xf>
    <xf numFmtId="165" fontId="0" fillId="0" borderId="19" xfId="0" applyNumberFormat="1" applyBorder="1" applyAlignment="1">
      <alignment horizontal="right"/>
    </xf>
    <xf numFmtId="2" fontId="0" fillId="0" borderId="8" xfId="0" applyNumberFormat="1" applyBorder="1" applyAlignment="1">
      <alignment horizontal="right" vertical="top"/>
    </xf>
    <xf numFmtId="0" fontId="11" fillId="10" borderId="8" xfId="0" applyFont="1" applyFill="1" applyBorder="1"/>
    <xf numFmtId="164" fontId="11" fillId="10" borderId="8" xfId="0" applyNumberFormat="1" applyFont="1" applyFill="1" applyBorder="1"/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9" fillId="11" borderId="25" xfId="0" applyFont="1" applyFill="1" applyBorder="1"/>
    <xf numFmtId="0" fontId="19" fillId="11" borderId="26" xfId="0" applyFont="1" applyFill="1" applyBorder="1"/>
    <xf numFmtId="0" fontId="19" fillId="11" borderId="27" xfId="0" applyFont="1" applyFill="1" applyBorder="1"/>
    <xf numFmtId="3" fontId="40" fillId="12" borderId="28" xfId="0" applyNumberFormat="1" applyFont="1" applyFill="1" applyBorder="1"/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/>
    <xf numFmtId="0" fontId="19" fillId="0" borderId="29" xfId="0" applyFont="1" applyBorder="1"/>
    <xf numFmtId="0" fontId="19" fillId="0" borderId="30" xfId="0" applyFont="1" applyBorder="1"/>
    <xf numFmtId="0" fontId="19" fillId="0" borderId="31" xfId="0" applyFont="1" applyBorder="1"/>
    <xf numFmtId="0" fontId="19" fillId="0" borderId="32" xfId="0" applyFont="1" applyBorder="1"/>
    <xf numFmtId="0" fontId="0" fillId="0" borderId="25" xfId="0" applyBorder="1"/>
    <xf numFmtId="0" fontId="41" fillId="13" borderId="26" xfId="0" applyFont="1" applyFill="1" applyBorder="1" applyAlignment="1">
      <alignment horizontal="center" vertical="center"/>
    </xf>
    <xf numFmtId="0" fontId="0" fillId="0" borderId="27" xfId="0" applyBorder="1"/>
    <xf numFmtId="3" fontId="42" fillId="12" borderId="28" xfId="0" applyNumberFormat="1" applyFont="1" applyFill="1" applyBorder="1"/>
    <xf numFmtId="1" fontId="0" fillId="12" borderId="8" xfId="0" applyNumberFormat="1" applyFill="1" applyBorder="1"/>
    <xf numFmtId="1" fontId="0" fillId="0" borderId="29" xfId="0" applyNumberFormat="1" applyBorder="1"/>
    <xf numFmtId="1" fontId="0" fillId="14" borderId="8" xfId="0" applyNumberFormat="1" applyFill="1" applyBorder="1"/>
    <xf numFmtId="3" fontId="42" fillId="12" borderId="30" xfId="0" applyNumberFormat="1" applyFont="1" applyFill="1" applyBorder="1"/>
    <xf numFmtId="1" fontId="0" fillId="12" borderId="31" xfId="0" applyNumberFormat="1" applyFill="1" applyBorder="1"/>
    <xf numFmtId="1" fontId="21" fillId="14" borderId="32" xfId="0" applyNumberFormat="1" applyFont="1" applyFill="1" applyBorder="1"/>
    <xf numFmtId="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right" vertical="center" wrapText="1" inden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165" fontId="0" fillId="0" borderId="33" xfId="0" applyNumberFormat="1" applyBorder="1" applyAlignment="1">
      <alignment horizontal="center" vertical="center" wrapText="1"/>
    </xf>
    <xf numFmtId="164" fontId="0" fillId="0" borderId="0" xfId="0" applyNumberFormat="1"/>
    <xf numFmtId="0" fontId="0" fillId="6" borderId="8" xfId="0" applyFill="1" applyBorder="1"/>
    <xf numFmtId="39" fontId="0" fillId="6" borderId="8" xfId="0" applyNumberFormat="1" applyFill="1" applyBorder="1"/>
    <xf numFmtId="39" fontId="9" fillId="6" borderId="8" xfId="0" applyNumberFormat="1" applyFont="1" applyFill="1" applyBorder="1"/>
    <xf numFmtId="4" fontId="0" fillId="6" borderId="8" xfId="0" applyNumberFormat="1" applyFill="1" applyBorder="1"/>
    <xf numFmtId="4" fontId="10" fillId="6" borderId="8" xfId="0" applyNumberFormat="1" applyFont="1" applyFill="1" applyBorder="1"/>
    <xf numFmtId="0" fontId="43" fillId="5" borderId="8" xfId="0" applyFont="1" applyFill="1" applyBorder="1"/>
    <xf numFmtId="0" fontId="43" fillId="5" borderId="34" xfId="0" applyFont="1" applyFill="1" applyBorder="1"/>
    <xf numFmtId="4" fontId="0" fillId="0" borderId="8" xfId="0" applyNumberFormat="1" applyBorder="1"/>
    <xf numFmtId="0" fontId="43" fillId="0" borderId="8" xfId="0" applyFont="1" applyBorder="1"/>
    <xf numFmtId="4" fontId="43" fillId="0" borderId="8" xfId="0" applyNumberFormat="1" applyFont="1" applyBorder="1"/>
    <xf numFmtId="0" fontId="0" fillId="4" borderId="19" xfId="0" applyFill="1" applyBorder="1"/>
    <xf numFmtId="0" fontId="6" fillId="4" borderId="19" xfId="0" applyFont="1" applyFill="1" applyBorder="1"/>
    <xf numFmtId="0" fontId="0" fillId="4" borderId="20" xfId="0" applyFill="1" applyBorder="1"/>
    <xf numFmtId="0" fontId="0" fillId="4" borderId="17" xfId="0" applyFill="1" applyBorder="1"/>
    <xf numFmtId="0" fontId="7" fillId="4" borderId="20" xfId="0" applyFont="1" applyFill="1" applyBorder="1"/>
    <xf numFmtId="0" fontId="0" fillId="4" borderId="18" xfId="0" applyFill="1" applyBorder="1"/>
    <xf numFmtId="0" fontId="0" fillId="15" borderId="8" xfId="0" applyFill="1" applyBorder="1"/>
    <xf numFmtId="0" fontId="9" fillId="0" borderId="8" xfId="0" applyFont="1" applyBorder="1"/>
    <xf numFmtId="39" fontId="0" fillId="0" borderId="8" xfId="0" applyNumberFormat="1" applyBorder="1"/>
    <xf numFmtId="39" fontId="9" fillId="0" borderId="8" xfId="0" applyNumberFormat="1" applyFont="1" applyBorder="1"/>
    <xf numFmtId="4" fontId="10" fillId="0" borderId="8" xfId="0" applyNumberFormat="1" applyFont="1" applyBorder="1"/>
    <xf numFmtId="39" fontId="44" fillId="0" borderId="8" xfId="0" applyNumberFormat="1" applyFont="1" applyBorder="1"/>
    <xf numFmtId="0" fontId="10" fillId="0" borderId="8" xfId="0" applyFont="1" applyBorder="1"/>
    <xf numFmtId="0" fontId="9" fillId="5" borderId="8" xfId="0" applyFont="1" applyFill="1" applyBorder="1"/>
    <xf numFmtId="4" fontId="9" fillId="0" borderId="8" xfId="0" applyNumberFormat="1" applyFont="1" applyBorder="1"/>
    <xf numFmtId="4" fontId="9" fillId="6" borderId="8" xfId="0" applyNumberFormat="1" applyFont="1" applyFill="1" applyBorder="1"/>
    <xf numFmtId="0" fontId="4" fillId="6" borderId="0" xfId="0" applyFont="1" applyFill="1" applyAlignment="1">
      <alignment vertical="top" wrapText="1"/>
    </xf>
    <xf numFmtId="0" fontId="33" fillId="0" borderId="8" xfId="0" applyFont="1" applyBorder="1"/>
    <xf numFmtId="0" fontId="33" fillId="0" borderId="35" xfId="0" applyFont="1" applyBorder="1"/>
    <xf numFmtId="166" fontId="0" fillId="0" borderId="0" xfId="1" applyNumberFormat="1" applyFont="1" applyFill="1"/>
    <xf numFmtId="164" fontId="0" fillId="6" borderId="8" xfId="0" applyNumberFormat="1" applyFill="1" applyBorder="1"/>
    <xf numFmtId="166" fontId="0" fillId="6" borderId="0" xfId="1" applyNumberFormat="1" applyFont="1" applyFill="1"/>
    <xf numFmtId="4" fontId="0" fillId="6" borderId="8" xfId="0" applyNumberFormat="1" applyFill="1" applyBorder="1" applyAlignment="1">
      <alignment horizontal="right"/>
    </xf>
    <xf numFmtId="0" fontId="0" fillId="0" borderId="36" xfId="0" applyBorder="1" applyAlignment="1">
      <alignment horizontal="right" vertical="center" wrapText="1" indent="1"/>
    </xf>
    <xf numFmtId="0" fontId="0" fillId="6" borderId="35" xfId="0" applyFill="1" applyBorder="1"/>
    <xf numFmtId="4" fontId="5" fillId="0" borderId="8" xfId="1" applyNumberFormat="1" applyFont="1" applyFill="1" applyBorder="1" applyAlignment="1">
      <alignment horizontal="center" vertical="top" wrapText="1"/>
    </xf>
    <xf numFmtId="164" fontId="0" fillId="9" borderId="8" xfId="0" applyNumberFormat="1" applyFill="1" applyBorder="1"/>
    <xf numFmtId="168" fontId="0" fillId="0" borderId="0" xfId="0" applyNumberFormat="1"/>
    <xf numFmtId="166" fontId="0" fillId="10" borderId="0" xfId="1" applyNumberFormat="1" applyFont="1" applyFill="1"/>
    <xf numFmtId="0" fontId="0" fillId="10" borderId="0" xfId="0" applyFill="1"/>
    <xf numFmtId="1" fontId="0" fillId="10" borderId="0" xfId="0" applyNumberFormat="1" applyFill="1"/>
    <xf numFmtId="9" fontId="0" fillId="10" borderId="0" xfId="1" applyFont="1" applyFill="1"/>
    <xf numFmtId="9" fontId="0" fillId="10" borderId="0" xfId="0" applyNumberFormat="1" applyFill="1"/>
    <xf numFmtId="2" fontId="0" fillId="0" borderId="8" xfId="0" applyNumberFormat="1" applyBorder="1" applyAlignment="1">
      <alignment vertical="center"/>
    </xf>
    <xf numFmtId="0" fontId="0" fillId="0" borderId="37" xfId="0" applyBorder="1" applyAlignment="1">
      <alignment horizontal="right" wrapText="1"/>
    </xf>
    <xf numFmtId="164" fontId="0" fillId="0" borderId="36" xfId="0" applyNumberFormat="1" applyBorder="1" applyAlignment="1">
      <alignment horizontal="right" vertical="center" wrapText="1" indent="1"/>
    </xf>
    <xf numFmtId="164" fontId="5" fillId="0" borderId="0" xfId="0" applyNumberFormat="1" applyFont="1" applyAlignment="1">
      <alignment horizontal="left" vertical="center"/>
    </xf>
    <xf numFmtId="0" fontId="15" fillId="3" borderId="16" xfId="0" applyFont="1" applyFill="1" applyBorder="1" applyAlignment="1">
      <alignment horizontal="center" wrapText="1"/>
    </xf>
    <xf numFmtId="0" fontId="15" fillId="3" borderId="13" xfId="0" applyFont="1" applyFill="1" applyBorder="1" applyAlignment="1">
      <alignment horizontal="center" wrapText="1"/>
    </xf>
    <xf numFmtId="0" fontId="15" fillId="7" borderId="16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top" wrapText="1"/>
    </xf>
    <xf numFmtId="0" fontId="6" fillId="3" borderId="13" xfId="0" applyFont="1" applyFill="1" applyBorder="1" applyAlignment="1">
      <alignment horizontal="center" vertical="top" wrapText="1"/>
    </xf>
    <xf numFmtId="0" fontId="0" fillId="0" borderId="9" xfId="0" applyBorder="1" applyAlignment="1">
      <alignment wrapText="1"/>
    </xf>
    <xf numFmtId="0" fontId="0" fillId="0" borderId="9" xfId="0" applyBorder="1"/>
    <xf numFmtId="0" fontId="6" fillId="4" borderId="19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4" borderId="21" xfId="0" applyFont="1" applyFill="1" applyBorder="1" applyAlignment="1">
      <alignment horizontal="center" wrapText="1"/>
    </xf>
    <xf numFmtId="0" fontId="0" fillId="0" borderId="18" xfId="0" applyBorder="1"/>
    <xf numFmtId="0" fontId="0" fillId="4" borderId="19" xfId="0" applyFill="1" applyBorder="1"/>
    <xf numFmtId="0" fontId="0" fillId="0" borderId="20" xfId="0" applyBorder="1"/>
    <xf numFmtId="0" fontId="0" fillId="0" borderId="17" xfId="0" applyBorder="1"/>
    <xf numFmtId="0" fontId="0" fillId="4" borderId="21" xfId="0" applyFill="1" applyBorder="1"/>
    <xf numFmtId="0" fontId="0" fillId="0" borderId="0" xfId="0"/>
    <xf numFmtId="0" fontId="6" fillId="4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3" fillId="0" borderId="5" xfId="0" applyFont="1" applyBorder="1"/>
    <xf numFmtId="0" fontId="0" fillId="0" borderId="6" xfId="0" applyBorder="1"/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>
              <a:solidFill>
                <a:prstClr val="black"/>
              </a:solidFill>
            </a:ln>
          </c:spPr>
          <c:marker>
            <c:symbol val="none"/>
          </c:marker>
          <c:xVal>
            <c:numRef>
              <c:f>'[3]reg CI'!$A$7:$A$26</c:f>
              <c:numCache>
                <c:formatCode>General</c:formatCode>
                <c:ptCount val="20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  <c:pt idx="3">
                  <c:v>1500</c:v>
                </c:pt>
                <c:pt idx="4">
                  <c:v>2000</c:v>
                </c:pt>
                <c:pt idx="5">
                  <c:v>2500</c:v>
                </c:pt>
                <c:pt idx="6">
                  <c:v>3000</c:v>
                </c:pt>
                <c:pt idx="7">
                  <c:v>3500</c:v>
                </c:pt>
                <c:pt idx="8">
                  <c:v>4000</c:v>
                </c:pt>
                <c:pt idx="9">
                  <c:v>4500</c:v>
                </c:pt>
                <c:pt idx="10">
                  <c:v>5000</c:v>
                </c:pt>
                <c:pt idx="11">
                  <c:v>5500</c:v>
                </c:pt>
                <c:pt idx="12">
                  <c:v>6000</c:v>
                </c:pt>
                <c:pt idx="13">
                  <c:v>6500</c:v>
                </c:pt>
                <c:pt idx="14">
                  <c:v>7000</c:v>
                </c:pt>
                <c:pt idx="15">
                  <c:v>7500</c:v>
                </c:pt>
                <c:pt idx="16">
                  <c:v>8000</c:v>
                </c:pt>
                <c:pt idx="17">
                  <c:v>8500</c:v>
                </c:pt>
                <c:pt idx="18">
                  <c:v>9000</c:v>
                </c:pt>
                <c:pt idx="19">
                  <c:v>9500</c:v>
                </c:pt>
              </c:numCache>
            </c:numRef>
          </c:xVal>
          <c:yVal>
            <c:numRef>
              <c:f>'[3]reg CI'!$B$7:$B$26</c:f>
              <c:numCache>
                <c:formatCode>General</c:formatCode>
                <c:ptCount val="20"/>
                <c:pt idx="0">
                  <c:v>1796.4</c:v>
                </c:pt>
                <c:pt idx="1">
                  <c:v>2911.6000000000004</c:v>
                </c:pt>
                <c:pt idx="2">
                  <c:v>4026.8</c:v>
                </c:pt>
                <c:pt idx="3">
                  <c:v>5142</c:v>
                </c:pt>
                <c:pt idx="4">
                  <c:v>6257.2000000000007</c:v>
                </c:pt>
                <c:pt idx="5">
                  <c:v>7372.4</c:v>
                </c:pt>
                <c:pt idx="6">
                  <c:v>8487.6</c:v>
                </c:pt>
                <c:pt idx="7">
                  <c:v>9602.7999999999993</c:v>
                </c:pt>
                <c:pt idx="8">
                  <c:v>10718</c:v>
                </c:pt>
                <c:pt idx="9">
                  <c:v>11833.199999999999</c:v>
                </c:pt>
                <c:pt idx="10">
                  <c:v>12948.4</c:v>
                </c:pt>
                <c:pt idx="11">
                  <c:v>14063.599999999999</c:v>
                </c:pt>
                <c:pt idx="12">
                  <c:v>15178.8</c:v>
                </c:pt>
                <c:pt idx="13">
                  <c:v>16294</c:v>
                </c:pt>
                <c:pt idx="14">
                  <c:v>17409.2</c:v>
                </c:pt>
                <c:pt idx="15">
                  <c:v>18524.400000000001</c:v>
                </c:pt>
                <c:pt idx="16">
                  <c:v>19639.600000000002</c:v>
                </c:pt>
                <c:pt idx="17">
                  <c:v>20754.8</c:v>
                </c:pt>
                <c:pt idx="18">
                  <c:v>21870</c:v>
                </c:pt>
                <c:pt idx="19">
                  <c:v>22985.200000000001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23-45DC-ADC2-5D814F595839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'[3]reg CI'!$A$7:$A$26</c:f>
              <c:numCache>
                <c:formatCode>General</c:formatCode>
                <c:ptCount val="20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  <c:pt idx="3">
                  <c:v>1500</c:v>
                </c:pt>
                <c:pt idx="4">
                  <c:v>2000</c:v>
                </c:pt>
                <c:pt idx="5">
                  <c:v>2500</c:v>
                </c:pt>
                <c:pt idx="6">
                  <c:v>3000</c:v>
                </c:pt>
                <c:pt idx="7">
                  <c:v>3500</c:v>
                </c:pt>
                <c:pt idx="8">
                  <c:v>4000</c:v>
                </c:pt>
                <c:pt idx="9">
                  <c:v>4500</c:v>
                </c:pt>
                <c:pt idx="10">
                  <c:v>5000</c:v>
                </c:pt>
                <c:pt idx="11">
                  <c:v>5500</c:v>
                </c:pt>
                <c:pt idx="12">
                  <c:v>6000</c:v>
                </c:pt>
                <c:pt idx="13">
                  <c:v>6500</c:v>
                </c:pt>
                <c:pt idx="14">
                  <c:v>7000</c:v>
                </c:pt>
                <c:pt idx="15">
                  <c:v>7500</c:v>
                </c:pt>
                <c:pt idx="16">
                  <c:v>8000</c:v>
                </c:pt>
                <c:pt idx="17">
                  <c:v>8500</c:v>
                </c:pt>
                <c:pt idx="18">
                  <c:v>9000</c:v>
                </c:pt>
                <c:pt idx="19">
                  <c:v>9500</c:v>
                </c:pt>
              </c:numCache>
            </c:numRef>
          </c:xVal>
          <c:yVal>
            <c:numRef>
              <c:f>'[3]reg CI'!$D$7:$D$26</c:f>
              <c:numCache>
                <c:formatCode>General</c:formatCode>
                <c:ptCount val="20"/>
                <c:pt idx="0">
                  <c:v>-726.56176764606516</c:v>
                </c:pt>
                <c:pt idx="1">
                  <c:v>647.8326175052598</c:v>
                </c:pt>
                <c:pt idx="2">
                  <c:v>1998.1681341631975</c:v>
                </c:pt>
                <c:pt idx="3">
                  <c:v>3315.1312208787376</c:v>
                </c:pt>
                <c:pt idx="4">
                  <c:v>4586.5864512803691</c:v>
                </c:pt>
                <c:pt idx="5">
                  <c:v>5798.9173892917424</c:v>
                </c:pt>
                <c:pt idx="6">
                  <c:v>6940.9445027301554</c:v>
                </c:pt>
                <c:pt idx="7">
                  <c:v>8009.1134774156872</c:v>
                </c:pt>
                <c:pt idx="8">
                  <c:v>9009.5129379193986</c:v>
                </c:pt>
                <c:pt idx="9">
                  <c:v>9954.5256923232209</c:v>
                </c:pt>
                <c:pt idx="10">
                  <c:v>10857.633616266292</c:v>
                </c:pt>
                <c:pt idx="11">
                  <c:v>11730.235735172257</c:v>
                </c:pt>
                <c:pt idx="12">
                  <c:v>12580.864027463844</c:v>
                </c:pt>
                <c:pt idx="13">
                  <c:v>13415.571323374897</c:v>
                </c:pt>
                <c:pt idx="14">
                  <c:v>14238.580221559801</c:v>
                </c:pt>
                <c:pt idx="15">
                  <c:v>15052.843329505811</c:v>
                </c:pt>
                <c:pt idx="16">
                  <c:v>15860.449373540756</c:v>
                </c:pt>
                <c:pt idx="17">
                  <c:v>16662.899341078766</c:v>
                </c:pt>
                <c:pt idx="18">
                  <c:v>17461.290398371559</c:v>
                </c:pt>
                <c:pt idx="19">
                  <c:v>18256.438269430393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23-45DC-ADC2-5D814F595839}"/>
            </c:ext>
          </c:extLst>
        </c:ser>
        <c:ser>
          <c:idx val="2"/>
          <c:order val="2"/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'[3]reg CI'!$A$7:$A$26</c:f>
              <c:numCache>
                <c:formatCode>General</c:formatCode>
                <c:ptCount val="20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  <c:pt idx="3">
                  <c:v>1500</c:v>
                </c:pt>
                <c:pt idx="4">
                  <c:v>2000</c:v>
                </c:pt>
                <c:pt idx="5">
                  <c:v>2500</c:v>
                </c:pt>
                <c:pt idx="6">
                  <c:v>3000</c:v>
                </c:pt>
                <c:pt idx="7">
                  <c:v>3500</c:v>
                </c:pt>
                <c:pt idx="8">
                  <c:v>4000</c:v>
                </c:pt>
                <c:pt idx="9">
                  <c:v>4500</c:v>
                </c:pt>
                <c:pt idx="10">
                  <c:v>5000</c:v>
                </c:pt>
                <c:pt idx="11">
                  <c:v>5500</c:v>
                </c:pt>
                <c:pt idx="12">
                  <c:v>6000</c:v>
                </c:pt>
                <c:pt idx="13">
                  <c:v>6500</c:v>
                </c:pt>
                <c:pt idx="14">
                  <c:v>7000</c:v>
                </c:pt>
                <c:pt idx="15">
                  <c:v>7500</c:v>
                </c:pt>
                <c:pt idx="16">
                  <c:v>8000</c:v>
                </c:pt>
                <c:pt idx="17">
                  <c:v>8500</c:v>
                </c:pt>
                <c:pt idx="18">
                  <c:v>9000</c:v>
                </c:pt>
                <c:pt idx="19">
                  <c:v>9500</c:v>
                </c:pt>
              </c:numCache>
            </c:numRef>
          </c:xVal>
          <c:yVal>
            <c:numRef>
              <c:f>'[3]reg CI'!$C$7:$C$26</c:f>
              <c:numCache>
                <c:formatCode>General</c:formatCode>
                <c:ptCount val="20"/>
                <c:pt idx="0">
                  <c:v>4319.3617676460653</c:v>
                </c:pt>
                <c:pt idx="1">
                  <c:v>5175.3673824947409</c:v>
                </c:pt>
                <c:pt idx="2">
                  <c:v>6055.4318658368029</c:v>
                </c:pt>
                <c:pt idx="3">
                  <c:v>6968.8687791212624</c:v>
                </c:pt>
                <c:pt idx="4">
                  <c:v>7927.8135487196323</c:v>
                </c:pt>
                <c:pt idx="5">
                  <c:v>8945.8826107082568</c:v>
                </c:pt>
                <c:pt idx="6">
                  <c:v>10034.255497269845</c:v>
                </c:pt>
                <c:pt idx="7">
                  <c:v>11196.486522584311</c:v>
                </c:pt>
                <c:pt idx="8">
                  <c:v>12426.487062080601</c:v>
                </c:pt>
                <c:pt idx="9">
                  <c:v>13711.874307676777</c:v>
                </c:pt>
                <c:pt idx="10">
                  <c:v>15039.166383733707</c:v>
                </c:pt>
                <c:pt idx="11">
                  <c:v>16396.96426482774</c:v>
                </c:pt>
                <c:pt idx="12">
                  <c:v>17776.735972536153</c:v>
                </c:pt>
                <c:pt idx="13">
                  <c:v>19172.428676625103</c:v>
                </c:pt>
                <c:pt idx="14">
                  <c:v>20579.8197784402</c:v>
                </c:pt>
                <c:pt idx="15">
                  <c:v>21995.95667049419</c:v>
                </c:pt>
                <c:pt idx="16">
                  <c:v>23418.750626459248</c:v>
                </c:pt>
                <c:pt idx="17">
                  <c:v>24846.700658921232</c:v>
                </c:pt>
                <c:pt idx="18">
                  <c:v>26278.709601628441</c:v>
                </c:pt>
                <c:pt idx="19">
                  <c:v>27713.961730569608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D23-45DC-ADC2-5D814F5958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615232"/>
        <c:axId val="114295168"/>
      </c:scatterChart>
      <c:valAx>
        <c:axId val="113615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Change in population (# persons)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295168"/>
        <c:crosses val="autoZero"/>
        <c:crossBetween val="midCat"/>
      </c:valAx>
      <c:valAx>
        <c:axId val="114295168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modeled change in deforested area (ha)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136152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7</xdr:row>
          <xdr:rowOff>0</xdr:rowOff>
        </xdr:from>
        <xdr:to>
          <xdr:col>16</xdr:col>
          <xdr:colOff>866775</xdr:colOff>
          <xdr:row>8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26</xdr:row>
      <xdr:rowOff>38100</xdr:rowOff>
    </xdr:from>
    <xdr:to>
      <xdr:col>13</xdr:col>
      <xdr:colOff>466725</xdr:colOff>
      <xdr:row>51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cksonr\AppData\Local\Temp\Temp1_31Oct2018%20-%20FINAL.zip\31Oct2018%20-%20FINAL\PNCAZ%20MonitoringWorkbook2018_31Oct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cksonr\Dropbox%20(TerraCarbon)\PNCAZ_2020\Appendix%209%20der%20PNCAZ%202020%20ext%20simple_R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ecky\TerraCarbon\uncertainty%20review\uncertainty%20calcs%20PNCAZ%202012_cle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table"/>
      <sheetName val="ProjectArea"/>
      <sheetName val="Leakage LB"/>
      <sheetName val="Leakage OLB"/>
      <sheetName val="Stocks"/>
      <sheetName val="Defor actual"/>
      <sheetName val="Dist actual"/>
      <sheetName val="cumulative UNC"/>
      <sheetName val="baseline tables"/>
      <sheetName val="inventory stats"/>
      <sheetName val="defor rate"/>
      <sheetName val="pop proj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2">
          <cell r="N52">
            <v>7.5296152990560292E-2</v>
          </cell>
        </row>
      </sheetData>
      <sheetData sheetId="10">
        <row r="4">
          <cell r="K4">
            <v>2786.9834650488633</v>
          </cell>
        </row>
        <row r="22">
          <cell r="I22">
            <v>2930.8666666666668</v>
          </cell>
          <cell r="M22">
            <v>67133539.733333334</v>
          </cell>
        </row>
      </sheetData>
      <sheetData sheetId="11">
        <row r="20">
          <cell r="E20">
            <v>9732.6097696898942</v>
          </cell>
          <cell r="F20">
            <v>11125.000109912537</v>
          </cell>
          <cell r="G20">
            <v>12754.229247108917</v>
          </cell>
          <cell r="H20">
            <v>14665.498637723678</v>
          </cell>
          <cell r="I20">
            <v>16913.208533004392</v>
          </cell>
          <cell r="J20">
            <v>19562.903248418297</v>
          </cell>
          <cell r="K20">
            <v>22693.63815972727</v>
          </cell>
          <cell r="L20">
            <v>26400.861437716609</v>
          </cell>
          <cell r="M20">
            <v>30799.9243026443</v>
          </cell>
          <cell r="N20">
            <v>36030.359028772567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area forest classes"/>
      <sheetName val="leakage belt forest classes"/>
      <sheetName val="baseline"/>
      <sheetName val="BSL PA BGB"/>
      <sheetName val="BSL PA DW"/>
      <sheetName val="BSL LB BGB"/>
      <sheetName val="BSL LB DW"/>
      <sheetName val="carbon stock estimates"/>
      <sheetName val="activity shifting leakage"/>
      <sheetName val="imm activity shifting leakage"/>
      <sheetName val="leakage all"/>
      <sheetName val="PROPIMM calcs"/>
      <sheetName val="survey sample plan"/>
      <sheetName val="with project ex ante"/>
      <sheetName val="Total VCUs"/>
      <sheetName val="Projections pop defor"/>
      <sheetName val="DP"/>
      <sheetName val="DP reg"/>
      <sheetName val="DP ci"/>
      <sheetName val="FOM AA"/>
    </sheetNames>
    <sheetDataSet>
      <sheetData sheetId="0"/>
      <sheetData sheetId="1"/>
      <sheetData sheetId="2"/>
      <sheetData sheetId="3">
        <row r="19">
          <cell r="C19">
            <v>46013.656487603097</v>
          </cell>
        </row>
        <row r="20">
          <cell r="C20">
            <v>90973.637234757276</v>
          </cell>
        </row>
        <row r="21">
          <cell r="C21">
            <v>119977.48810939313</v>
          </cell>
        </row>
        <row r="22">
          <cell r="C22">
            <v>154766.58418196603</v>
          </cell>
        </row>
        <row r="23">
          <cell r="C23">
            <v>198939.89080901109</v>
          </cell>
        </row>
        <row r="24">
          <cell r="C24">
            <v>258271.61730849612</v>
          </cell>
        </row>
        <row r="25">
          <cell r="C25">
            <v>331962.3488316228</v>
          </cell>
        </row>
        <row r="26">
          <cell r="C26">
            <v>419278.16437893535</v>
          </cell>
        </row>
        <row r="27">
          <cell r="C27">
            <v>517417.49789839576</v>
          </cell>
        </row>
        <row r="28">
          <cell r="C28">
            <v>629732.10940725938</v>
          </cell>
        </row>
      </sheetData>
      <sheetData sheetId="4">
        <row r="19">
          <cell r="C19">
            <v>16654.849199999997</v>
          </cell>
        </row>
        <row r="20">
          <cell r="C20">
            <v>35166.126599999996</v>
          </cell>
        </row>
        <row r="21">
          <cell r="C21">
            <v>46534.874099999994</v>
          </cell>
        </row>
        <row r="22">
          <cell r="C22">
            <v>60115.027499999997</v>
          </cell>
        </row>
        <row r="23">
          <cell r="C23">
            <v>77212.396799999988</v>
          </cell>
        </row>
        <row r="24">
          <cell r="C24">
            <v>99974.763899999991</v>
          </cell>
        </row>
        <row r="25">
          <cell r="C25">
            <v>128528.06999999999</v>
          </cell>
        </row>
        <row r="26">
          <cell r="C26">
            <v>162591.78869999998</v>
          </cell>
        </row>
        <row r="27">
          <cell r="C27">
            <v>200992.81949999998</v>
          </cell>
        </row>
        <row r="28">
          <cell r="C28">
            <v>245209.60199999998</v>
          </cell>
        </row>
      </sheetData>
      <sheetData sheetId="5">
        <row r="19">
          <cell r="C19">
            <v>155183.55905750397</v>
          </cell>
        </row>
        <row r="20">
          <cell r="C20">
            <v>318834.75818557321</v>
          </cell>
        </row>
        <row r="21">
          <cell r="C21">
            <v>525811.80108370108</v>
          </cell>
        </row>
        <row r="22">
          <cell r="C22">
            <v>759942.6216642888</v>
          </cell>
        </row>
        <row r="23">
          <cell r="C23">
            <v>1024529.2533363153</v>
          </cell>
        </row>
        <row r="24">
          <cell r="C24">
            <v>1322424.3887447766</v>
          </cell>
        </row>
        <row r="25">
          <cell r="C25">
            <v>1660418.0759418111</v>
          </cell>
        </row>
        <row r="26">
          <cell r="C26">
            <v>2021665.7704686022</v>
          </cell>
        </row>
        <row r="27">
          <cell r="C27">
            <v>2390959.6624928531</v>
          </cell>
        </row>
        <row r="28">
          <cell r="C28">
            <v>2764693.4755138652</v>
          </cell>
        </row>
      </sheetData>
      <sheetData sheetId="6">
        <row r="19">
          <cell r="C19">
            <v>68220.721236804398</v>
          </cell>
        </row>
        <row r="20">
          <cell r="C20">
            <v>140321.33754326988</v>
          </cell>
        </row>
        <row r="21">
          <cell r="C21">
            <v>231518.55794403073</v>
          </cell>
        </row>
        <row r="22">
          <cell r="C22">
            <v>334684.83731125033</v>
          </cell>
        </row>
        <row r="23">
          <cell r="C23">
            <v>451270.05820463627</v>
          </cell>
        </row>
        <row r="24">
          <cell r="C24">
            <v>582522.09668806545</v>
          </cell>
        </row>
        <row r="25">
          <cell r="C25">
            <v>731428.12922270037</v>
          </cell>
        </row>
        <row r="26">
          <cell r="C26">
            <v>890560.67173542362</v>
          </cell>
        </row>
        <row r="27">
          <cell r="C27">
            <v>1053226.7428517258</v>
          </cell>
        </row>
        <row r="28">
          <cell r="C28">
            <v>1217819.440516212</v>
          </cell>
        </row>
      </sheetData>
      <sheetData sheetId="7">
        <row r="4">
          <cell r="C4">
            <v>213.76666666666665</v>
          </cell>
        </row>
        <row r="5">
          <cell r="C5">
            <v>350.5333333333333</v>
          </cell>
        </row>
        <row r="6">
          <cell r="C6">
            <v>282.7</v>
          </cell>
        </row>
        <row r="7">
          <cell r="C7">
            <v>508.93333333333334</v>
          </cell>
        </row>
        <row r="8">
          <cell r="C8">
            <v>454.75470824945768</v>
          </cell>
        </row>
        <row r="9">
          <cell r="C9">
            <v>343.44101410671715</v>
          </cell>
        </row>
        <row r="10">
          <cell r="C10">
            <v>366.20096876015486</v>
          </cell>
        </row>
        <row r="13">
          <cell r="C13">
            <v>31.092608461538461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EI pop data"/>
      <sheetName val="2003 CIMA data"/>
      <sheetName val="CIMA data w planned defor"/>
      <sheetName val="DP analysis"/>
      <sheetName val="DP analysis stratified"/>
      <sheetName val="east reg"/>
      <sheetName val="west reg"/>
      <sheetName val="DP"/>
      <sheetName val="DP reg"/>
      <sheetName val="reg CI"/>
      <sheetName val="rate calcs"/>
      <sheetName val="pop data INEI"/>
      <sheetName val="uncertainty calcs"/>
      <sheetName val="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E3">
            <v>2722</v>
          </cell>
        </row>
      </sheetData>
      <sheetData sheetId="8">
        <row r="4">
          <cell r="A4">
            <v>2722</v>
          </cell>
        </row>
      </sheetData>
      <sheetData sheetId="9">
        <row r="4">
          <cell r="K4">
            <v>2786.9834650488633</v>
          </cell>
        </row>
        <row r="7">
          <cell r="A7">
            <v>0</v>
          </cell>
          <cell r="B7">
            <v>1796.4</v>
          </cell>
          <cell r="C7">
            <v>4319.3617676460653</v>
          </cell>
          <cell r="D7">
            <v>-726.56176764606516</v>
          </cell>
        </row>
        <row r="8">
          <cell r="A8">
            <v>500</v>
          </cell>
          <cell r="B8">
            <v>2911.6000000000004</v>
          </cell>
          <cell r="C8">
            <v>5175.3673824947409</v>
          </cell>
          <cell r="D8">
            <v>647.8326175052598</v>
          </cell>
        </row>
        <row r="9">
          <cell r="A9">
            <v>1000</v>
          </cell>
          <cell r="B9">
            <v>4026.8</v>
          </cell>
          <cell r="C9">
            <v>6055.4318658368029</v>
          </cell>
          <cell r="D9">
            <v>1998.1681341631975</v>
          </cell>
        </row>
        <row r="10">
          <cell r="A10">
            <v>1500</v>
          </cell>
          <cell r="B10">
            <v>5142</v>
          </cell>
          <cell r="C10">
            <v>6968.8687791212624</v>
          </cell>
          <cell r="D10">
            <v>3315.1312208787376</v>
          </cell>
        </row>
        <row r="11">
          <cell r="A11">
            <v>2000</v>
          </cell>
          <cell r="B11">
            <v>6257.2000000000007</v>
          </cell>
          <cell r="C11">
            <v>7927.8135487196323</v>
          </cell>
          <cell r="D11">
            <v>4586.5864512803691</v>
          </cell>
        </row>
        <row r="12">
          <cell r="A12">
            <v>2500</v>
          </cell>
          <cell r="B12">
            <v>7372.4</v>
          </cell>
          <cell r="C12">
            <v>8945.8826107082568</v>
          </cell>
          <cell r="D12">
            <v>5798.9173892917424</v>
          </cell>
        </row>
        <row r="13">
          <cell r="A13">
            <v>3000</v>
          </cell>
          <cell r="B13">
            <v>8487.6</v>
          </cell>
          <cell r="C13">
            <v>10034.255497269845</v>
          </cell>
          <cell r="D13">
            <v>6940.9445027301554</v>
          </cell>
        </row>
        <row r="14">
          <cell r="A14">
            <v>3500</v>
          </cell>
          <cell r="B14">
            <v>9602.7999999999993</v>
          </cell>
          <cell r="C14">
            <v>11196.486522584311</v>
          </cell>
          <cell r="D14">
            <v>8009.1134774156872</v>
          </cell>
        </row>
        <row r="15">
          <cell r="A15">
            <v>4000</v>
          </cell>
          <cell r="B15">
            <v>10718</v>
          </cell>
          <cell r="C15">
            <v>12426.487062080601</v>
          </cell>
          <cell r="D15">
            <v>9009.5129379193986</v>
          </cell>
        </row>
        <row r="16">
          <cell r="A16">
            <v>4500</v>
          </cell>
          <cell r="B16">
            <v>11833.199999999999</v>
          </cell>
          <cell r="C16">
            <v>13711.874307676777</v>
          </cell>
          <cell r="D16">
            <v>9954.5256923232209</v>
          </cell>
        </row>
        <row r="17">
          <cell r="A17">
            <v>5000</v>
          </cell>
          <cell r="B17">
            <v>12948.4</v>
          </cell>
          <cell r="C17">
            <v>15039.166383733707</v>
          </cell>
          <cell r="D17">
            <v>10857.633616266292</v>
          </cell>
        </row>
        <row r="18">
          <cell r="A18">
            <v>5500</v>
          </cell>
          <cell r="B18">
            <v>14063.599999999999</v>
          </cell>
          <cell r="C18">
            <v>16396.96426482774</v>
          </cell>
          <cell r="D18">
            <v>11730.235735172257</v>
          </cell>
        </row>
        <row r="19">
          <cell r="A19">
            <v>6000</v>
          </cell>
          <cell r="B19">
            <v>15178.8</v>
          </cell>
          <cell r="C19">
            <v>17776.735972536153</v>
          </cell>
          <cell r="D19">
            <v>12580.864027463844</v>
          </cell>
        </row>
        <row r="20">
          <cell r="A20">
            <v>6500</v>
          </cell>
          <cell r="B20">
            <v>16294</v>
          </cell>
          <cell r="C20">
            <v>19172.428676625103</v>
          </cell>
          <cell r="D20">
            <v>13415.571323374897</v>
          </cell>
        </row>
        <row r="21">
          <cell r="A21">
            <v>7000</v>
          </cell>
          <cell r="B21">
            <v>17409.2</v>
          </cell>
          <cell r="C21">
            <v>20579.8197784402</v>
          </cell>
          <cell r="D21">
            <v>14238.580221559801</v>
          </cell>
        </row>
        <row r="22">
          <cell r="A22">
            <v>7500</v>
          </cell>
          <cell r="B22">
            <v>18524.400000000001</v>
          </cell>
          <cell r="C22">
            <v>21995.95667049419</v>
          </cell>
          <cell r="D22">
            <v>15052.843329505811</v>
          </cell>
        </row>
        <row r="23">
          <cell r="A23">
            <v>8000</v>
          </cell>
          <cell r="B23">
            <v>19639.600000000002</v>
          </cell>
          <cell r="C23">
            <v>23418.750626459248</v>
          </cell>
          <cell r="D23">
            <v>15860.449373540756</v>
          </cell>
        </row>
        <row r="24">
          <cell r="A24">
            <v>8500</v>
          </cell>
          <cell r="B24">
            <v>20754.8</v>
          </cell>
          <cell r="C24">
            <v>24846.700658921232</v>
          </cell>
          <cell r="D24">
            <v>16662.899341078766</v>
          </cell>
        </row>
        <row r="25">
          <cell r="A25">
            <v>9000</v>
          </cell>
          <cell r="B25">
            <v>21870</v>
          </cell>
          <cell r="C25">
            <v>26278.709601628441</v>
          </cell>
          <cell r="D25">
            <v>17461.290398371559</v>
          </cell>
        </row>
        <row r="26">
          <cell r="A26">
            <v>9500</v>
          </cell>
          <cell r="B26">
            <v>22985.200000000001</v>
          </cell>
          <cell r="C26">
            <v>27713.961730569608</v>
          </cell>
          <cell r="D26">
            <v>18256.438269430393</v>
          </cell>
        </row>
      </sheetData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11"/>
  <sheetViews>
    <sheetView workbookViewId="0">
      <selection activeCell="G7" sqref="G7"/>
    </sheetView>
  </sheetViews>
  <sheetFormatPr baseColWidth="10" defaultColWidth="9.140625" defaultRowHeight="15" x14ac:dyDescent="0.25"/>
  <cols>
    <col min="1" max="1" width="14.85546875" bestFit="1" customWidth="1"/>
    <col min="2" max="2" width="23.140625" customWidth="1"/>
    <col min="3" max="3" width="20.85546875" customWidth="1"/>
    <col min="4" max="4" width="21.5703125" customWidth="1"/>
    <col min="5" max="5" width="14.140625" customWidth="1"/>
    <col min="6" max="6" width="17.140625" customWidth="1"/>
    <col min="7" max="7" width="17.85546875" customWidth="1"/>
    <col min="8" max="8" width="17.42578125" bestFit="1" customWidth="1"/>
    <col min="10" max="10" width="12.85546875" bestFit="1" customWidth="1"/>
    <col min="12" max="12" width="11.85546875" bestFit="1" customWidth="1"/>
    <col min="13" max="13" width="13.85546875" bestFit="1" customWidth="1"/>
    <col min="18" max="18" width="11.85546875" bestFit="1" customWidth="1"/>
  </cols>
  <sheetData>
    <row r="3" spans="1:10" ht="57" x14ac:dyDescent="0.25">
      <c r="A3" s="133" t="s">
        <v>0</v>
      </c>
      <c r="B3" s="133" t="s">
        <v>1</v>
      </c>
      <c r="C3" s="133" t="s">
        <v>2</v>
      </c>
      <c r="D3" s="133" t="s">
        <v>3</v>
      </c>
      <c r="E3" s="133" t="s">
        <v>4</v>
      </c>
      <c r="F3" s="133" t="s">
        <v>5</v>
      </c>
      <c r="G3" s="133" t="s">
        <v>6</v>
      </c>
    </row>
    <row r="4" spans="1:10" x14ac:dyDescent="0.25">
      <c r="A4" s="134">
        <v>2019</v>
      </c>
      <c r="B4" s="135">
        <f>baseline_tables_2020!G68</f>
        <v>5362137.3028168119</v>
      </c>
      <c r="C4" s="135">
        <f>ProjectArea!G6</f>
        <v>98254.49448388016</v>
      </c>
      <c r="D4" s="135">
        <v>0</v>
      </c>
      <c r="E4" s="205">
        <v>0.1</v>
      </c>
      <c r="F4" s="135">
        <f>E4*(B4-C4)</f>
        <v>526388.28083329322</v>
      </c>
      <c r="G4" s="135">
        <f>B4-C4-D4-F4</f>
        <v>4737494.5274996385</v>
      </c>
    </row>
    <row r="5" spans="1:10" x14ac:dyDescent="0.25">
      <c r="A5" s="134">
        <v>2020</v>
      </c>
      <c r="B5" s="135">
        <f>baseline_tables_2020!G69</f>
        <v>5362137.3028168119</v>
      </c>
      <c r="C5" s="135">
        <f>ProjectArea!G7</f>
        <v>98254.49448388016</v>
      </c>
      <c r="D5" s="135">
        <v>0</v>
      </c>
      <c r="E5" s="205">
        <v>0.1</v>
      </c>
      <c r="F5" s="135">
        <f t="shared" ref="F5:F6" si="0">E5*(B5-C5)</f>
        <v>526388.28083329322</v>
      </c>
      <c r="G5" s="135">
        <f t="shared" ref="G5" si="1">B5-C5-D5-F5</f>
        <v>4737494.5274996385</v>
      </c>
    </row>
    <row r="6" spans="1:10" x14ac:dyDescent="0.25">
      <c r="A6" s="134">
        <v>2021</v>
      </c>
      <c r="B6" s="135">
        <f>baseline_tables_2020!G70</f>
        <v>2144854.9211267247</v>
      </c>
      <c r="C6" s="135">
        <f>ProjectArea!G8</f>
        <v>37430.283612906729</v>
      </c>
      <c r="D6" s="135">
        <v>0</v>
      </c>
      <c r="E6" s="205">
        <v>0.1</v>
      </c>
      <c r="F6" s="135">
        <f t="shared" si="0"/>
        <v>210742.46375138179</v>
      </c>
      <c r="G6" s="135">
        <f>B6-C6-D6-F6</f>
        <v>1896682.173762436</v>
      </c>
    </row>
    <row r="7" spans="1:10" x14ac:dyDescent="0.25">
      <c r="A7" s="8" t="s">
        <v>310</v>
      </c>
      <c r="B7" s="136">
        <f>SUM(B4:B6)</f>
        <v>12869129.526760349</v>
      </c>
      <c r="C7" s="136">
        <f>SUM(C4:C6)</f>
        <v>233939.27258066705</v>
      </c>
      <c r="D7" s="136">
        <f t="shared" ref="D7:G7" si="2">SUM(D4:D6)</f>
        <v>0</v>
      </c>
      <c r="E7" s="136">
        <v>0.1</v>
      </c>
      <c r="F7" s="136">
        <f t="shared" si="2"/>
        <v>1263519.0254179682</v>
      </c>
      <c r="G7" s="136">
        <f t="shared" si="2"/>
        <v>11371671.228761714</v>
      </c>
      <c r="J7" s="98"/>
    </row>
    <row r="9" spans="1:10" x14ac:dyDescent="0.25">
      <c r="B9" s="98"/>
    </row>
    <row r="10" spans="1:10" x14ac:dyDescent="0.25">
      <c r="B10" s="98"/>
      <c r="H10" s="207"/>
    </row>
    <row r="11" spans="1:10" x14ac:dyDescent="0.25">
      <c r="H11" s="10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G9"/>
  <sheetViews>
    <sheetView topLeftCell="A3" workbookViewId="0">
      <selection activeCell="G6" sqref="G6:G9"/>
    </sheetView>
  </sheetViews>
  <sheetFormatPr baseColWidth="10" defaultColWidth="9.140625" defaultRowHeight="15" x14ac:dyDescent="0.25"/>
  <cols>
    <col min="1" max="1" width="21.140625" customWidth="1"/>
    <col min="2" max="2" width="15.5703125" customWidth="1"/>
    <col min="3" max="3" width="17.42578125" customWidth="1"/>
    <col min="4" max="4" width="21.28515625" customWidth="1"/>
    <col min="5" max="5" width="16.42578125" customWidth="1"/>
    <col min="6" max="6" width="17" customWidth="1"/>
    <col min="7" max="7" width="14.42578125" customWidth="1"/>
  </cols>
  <sheetData>
    <row r="3" spans="1:7" ht="156" customHeight="1" x14ac:dyDescent="0.25"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14</v>
      </c>
    </row>
    <row r="4" spans="1:7" x14ac:dyDescent="0.25">
      <c r="A4" s="15"/>
      <c r="B4" s="15" t="s">
        <v>13</v>
      </c>
      <c r="C4" s="15" t="s">
        <v>13</v>
      </c>
      <c r="D4" s="15" t="s">
        <v>13</v>
      </c>
      <c r="E4" s="15" t="s">
        <v>13</v>
      </c>
      <c r="F4" s="15" t="s">
        <v>13</v>
      </c>
      <c r="G4" s="15" t="s">
        <v>13</v>
      </c>
    </row>
    <row r="5" spans="1:7" x14ac:dyDescent="0.25">
      <c r="A5" s="15"/>
      <c r="B5" s="15" t="s">
        <v>8</v>
      </c>
      <c r="C5" s="15" t="s">
        <v>9</v>
      </c>
      <c r="D5" s="15" t="s">
        <v>10</v>
      </c>
      <c r="E5" s="15" t="s">
        <v>11</v>
      </c>
      <c r="F5" s="15" t="s">
        <v>12</v>
      </c>
      <c r="G5" s="15" t="s">
        <v>7</v>
      </c>
    </row>
    <row r="6" spans="1:7" x14ac:dyDescent="0.25">
      <c r="A6" s="96">
        <v>2019</v>
      </c>
      <c r="B6" s="32">
        <f>'Defor actual'!G28</f>
        <v>13282.664027752166</v>
      </c>
      <c r="C6" s="8">
        <v>0</v>
      </c>
      <c r="D6" s="32">
        <f>'Dist actual'!O5</f>
        <v>84971.830456127995</v>
      </c>
      <c r="E6" s="8">
        <v>0</v>
      </c>
      <c r="F6" s="8">
        <v>0</v>
      </c>
      <c r="G6" s="32">
        <f>B6+D59+D6+E6-F6</f>
        <v>98254.49448388016</v>
      </c>
    </row>
    <row r="7" spans="1:7" x14ac:dyDescent="0.25">
      <c r="A7" s="96">
        <v>2020</v>
      </c>
      <c r="B7" s="32">
        <f>'Defor actual'!G29</f>
        <v>13282.664027752166</v>
      </c>
      <c r="C7" s="8"/>
      <c r="D7" s="32">
        <f>'Dist actual'!O6</f>
        <v>84971.830456127995</v>
      </c>
      <c r="E7" s="8"/>
      <c r="F7" s="8"/>
      <c r="G7" s="32">
        <f>B7+D60+D7+E7-F7</f>
        <v>98254.49448388016</v>
      </c>
    </row>
    <row r="8" spans="1:7" x14ac:dyDescent="0.25">
      <c r="A8" s="96">
        <v>2021</v>
      </c>
      <c r="B8" s="32">
        <f>'Defor actual'!G30</f>
        <v>5060.0624867627293</v>
      </c>
      <c r="C8" s="8"/>
      <c r="D8" s="32">
        <f>'Dist actual'!O7</f>
        <v>32370.221126143999</v>
      </c>
      <c r="E8" s="8"/>
      <c r="F8" s="8"/>
      <c r="G8" s="32">
        <f>B8+D61+D8+E8-F8</f>
        <v>37430.283612906729</v>
      </c>
    </row>
    <row r="9" spans="1:7" x14ac:dyDescent="0.25">
      <c r="A9" s="96" t="s">
        <v>310</v>
      </c>
      <c r="B9" s="32">
        <f>SUM(B6:B8)</f>
        <v>31625.390542267061</v>
      </c>
      <c r="C9" s="32">
        <f t="shared" ref="C9:G9" si="0">SUM(C6:C8)</f>
        <v>0</v>
      </c>
      <c r="D9" s="32">
        <f t="shared" si="0"/>
        <v>202313.88203839998</v>
      </c>
      <c r="E9" s="32">
        <f t="shared" si="0"/>
        <v>0</v>
      </c>
      <c r="F9" s="32">
        <f t="shared" si="0"/>
        <v>0</v>
      </c>
      <c r="G9" s="32">
        <f t="shared" si="0"/>
        <v>233939.27258066705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J21"/>
  <sheetViews>
    <sheetView topLeftCell="A10" workbookViewId="0">
      <selection activeCell="D18" sqref="D18"/>
    </sheetView>
  </sheetViews>
  <sheetFormatPr baseColWidth="10" defaultColWidth="9.140625" defaultRowHeight="15" x14ac:dyDescent="0.25"/>
  <cols>
    <col min="3" max="3" width="13" customWidth="1"/>
    <col min="4" max="4" width="13.85546875" customWidth="1"/>
    <col min="5" max="5" width="12.85546875" bestFit="1" customWidth="1"/>
    <col min="6" max="6" width="14.42578125" customWidth="1"/>
    <col min="7" max="7" width="17.28515625" customWidth="1"/>
    <col min="8" max="8" width="18.85546875" customWidth="1"/>
    <col min="10" max="10" width="12.85546875" bestFit="1" customWidth="1"/>
  </cols>
  <sheetData>
    <row r="2" spans="3:10" ht="15.75" thickBot="1" x14ac:dyDescent="0.3"/>
    <row r="3" spans="3:10" ht="39.75" thickBot="1" x14ac:dyDescent="0.3">
      <c r="C3" s="18" t="s">
        <v>86</v>
      </c>
      <c r="D3" s="19" t="s">
        <v>87</v>
      </c>
      <c r="E3" s="20" t="s">
        <v>88</v>
      </c>
      <c r="F3" s="20" t="s">
        <v>89</v>
      </c>
    </row>
    <row r="4" spans="3:10" ht="31.5" x14ac:dyDescent="0.3">
      <c r="C4" s="217" t="s">
        <v>50</v>
      </c>
      <c r="D4" s="21" t="s">
        <v>90</v>
      </c>
      <c r="E4" s="23" t="s">
        <v>92</v>
      </c>
      <c r="F4" s="25" t="s">
        <v>93</v>
      </c>
    </row>
    <row r="5" spans="3:10" ht="16.5" thickBot="1" x14ac:dyDescent="0.35">
      <c r="C5" s="218"/>
      <c r="D5" s="22" t="s">
        <v>91</v>
      </c>
      <c r="E5" s="24" t="s">
        <v>91</v>
      </c>
      <c r="F5" s="24" t="s">
        <v>91</v>
      </c>
      <c r="J5" s="99"/>
    </row>
    <row r="6" spans="3:10" ht="15.75" thickBot="1" x14ac:dyDescent="0.3">
      <c r="C6" s="134">
        <v>2019</v>
      </c>
      <c r="D6" s="206">
        <v>20062507.394610465</v>
      </c>
      <c r="E6" s="27">
        <f>'Defor actual'!M28</f>
        <v>8862260.483755134</v>
      </c>
      <c r="F6" s="29">
        <f>E6-D6</f>
        <v>-11200246.910855331</v>
      </c>
      <c r="J6" s="99"/>
    </row>
    <row r="7" spans="3:10" ht="15.75" thickBot="1" x14ac:dyDescent="0.3">
      <c r="C7" s="134">
        <v>2020</v>
      </c>
      <c r="D7" s="206">
        <v>20062507.394610465</v>
      </c>
      <c r="E7" s="27">
        <f>'Defor actual'!M29</f>
        <v>8862260.483755134</v>
      </c>
      <c r="F7" s="29">
        <f t="shared" ref="F7:F8" si="0">E7-D7</f>
        <v>-11200246.910855331</v>
      </c>
      <c r="J7" s="99"/>
    </row>
    <row r="8" spans="3:10" ht="15.75" thickBot="1" x14ac:dyDescent="0.3">
      <c r="C8" s="134">
        <v>2021</v>
      </c>
      <c r="D8" s="206">
        <v>8025002.9578441866</v>
      </c>
      <c r="E8" s="27">
        <f>G20</f>
        <v>3376099.2319067186</v>
      </c>
      <c r="F8" s="29">
        <f t="shared" si="0"/>
        <v>-4648903.725937468</v>
      </c>
      <c r="J8" s="99"/>
    </row>
    <row r="9" spans="3:10" ht="15.75" thickBot="1" x14ac:dyDescent="0.3">
      <c r="C9" s="8" t="s">
        <v>291</v>
      </c>
      <c r="D9" s="117">
        <f>SUM(D6:D8)</f>
        <v>48150017.747065112</v>
      </c>
      <c r="E9" s="117">
        <f>SUM(E6:E8)</f>
        <v>21100620.199416988</v>
      </c>
      <c r="F9" s="117">
        <f>SUM(F6:F8)</f>
        <v>-27049397.547648128</v>
      </c>
      <c r="J9" s="99"/>
    </row>
    <row r="12" spans="3:10" x14ac:dyDescent="0.25">
      <c r="C12" s="97"/>
      <c r="D12" s="97"/>
      <c r="E12" s="97"/>
      <c r="F12" s="97"/>
    </row>
    <row r="14" spans="3:10" ht="15.75" thickBot="1" x14ac:dyDescent="0.3"/>
    <row r="15" spans="3:10" ht="39" thickBot="1" x14ac:dyDescent="0.3">
      <c r="C15" s="123" t="s">
        <v>86</v>
      </c>
      <c r="D15" s="124" t="s">
        <v>87</v>
      </c>
      <c r="E15" s="125"/>
      <c r="F15" s="124" t="s">
        <v>261</v>
      </c>
      <c r="G15" s="124" t="s">
        <v>88</v>
      </c>
      <c r="H15" s="124" t="s">
        <v>89</v>
      </c>
    </row>
    <row r="16" spans="3:10" ht="31.5" x14ac:dyDescent="0.25">
      <c r="C16" s="219" t="s">
        <v>50</v>
      </c>
      <c r="D16" s="126" t="s">
        <v>90</v>
      </c>
      <c r="E16" s="128" t="s">
        <v>262</v>
      </c>
      <c r="F16" s="126" t="s">
        <v>263</v>
      </c>
      <c r="G16" s="126" t="s">
        <v>92</v>
      </c>
      <c r="H16" s="128" t="s">
        <v>93</v>
      </c>
    </row>
    <row r="17" spans="3:8" ht="16.5" thickBot="1" x14ac:dyDescent="0.3">
      <c r="C17" s="220"/>
      <c r="D17" s="127" t="s">
        <v>91</v>
      </c>
      <c r="E17" s="127" t="s">
        <v>47</v>
      </c>
      <c r="F17" s="127" t="s">
        <v>264</v>
      </c>
      <c r="G17" s="127" t="s">
        <v>91</v>
      </c>
      <c r="H17" s="127" t="s">
        <v>91</v>
      </c>
    </row>
    <row r="18" spans="3:8" ht="15.75" thickBot="1" x14ac:dyDescent="0.3">
      <c r="C18" s="134">
        <v>2019</v>
      </c>
      <c r="D18" s="129">
        <f>baseline_tables_2020!G87</f>
        <v>20062507.394610465</v>
      </c>
      <c r="E18" s="130">
        <f>'Defor actual'!M19</f>
        <v>20069.720999999998</v>
      </c>
      <c r="F18" s="131" t="s">
        <v>265</v>
      </c>
      <c r="G18" s="130">
        <f>'Defor actual'!M28</f>
        <v>8862260.483755134</v>
      </c>
      <c r="H18" s="132">
        <f>G18-D18</f>
        <v>-11200246.910855331</v>
      </c>
    </row>
    <row r="19" spans="3:8" ht="15.75" thickBot="1" x14ac:dyDescent="0.3">
      <c r="C19" s="134">
        <v>2020</v>
      </c>
      <c r="D19" s="129">
        <f>baseline_tables_2020!G88</f>
        <v>20062507.394610465</v>
      </c>
      <c r="E19" s="130">
        <f>'Defor actual'!M20</f>
        <v>20069.720999999998</v>
      </c>
      <c r="F19" s="131" t="s">
        <v>265</v>
      </c>
      <c r="G19" s="130">
        <f>'Defor actual'!M29</f>
        <v>8862260.483755134</v>
      </c>
      <c r="H19" s="132">
        <f>G19-D19</f>
        <v>-11200246.910855331</v>
      </c>
    </row>
    <row r="20" spans="3:8" ht="15.75" thickBot="1" x14ac:dyDescent="0.3">
      <c r="C20" s="134">
        <v>2021</v>
      </c>
      <c r="D20" s="129">
        <f>baseline_tables_2020!G89</f>
        <v>8025002.9578441866</v>
      </c>
      <c r="E20" s="130">
        <f>'Defor actual'!M21</f>
        <v>7645.6080000000002</v>
      </c>
      <c r="F20" s="131" t="s">
        <v>265</v>
      </c>
      <c r="G20" s="130">
        <f>'Defor actual'!M30</f>
        <v>3376099.2319067186</v>
      </c>
      <c r="H20" s="132">
        <f>G20-D20</f>
        <v>-4648903.725937468</v>
      </c>
    </row>
    <row r="21" spans="3:8" ht="15.75" thickBot="1" x14ac:dyDescent="0.3">
      <c r="C21" s="8" t="s">
        <v>310</v>
      </c>
      <c r="D21" s="129">
        <f>SUM(D18:D20)</f>
        <v>48150017.747065112</v>
      </c>
      <c r="E21" s="129">
        <f>SUM(E18:E20)</f>
        <v>47785.049999999996</v>
      </c>
      <c r="F21" s="129"/>
      <c r="G21" s="129">
        <f>SUM(G18:G20)</f>
        <v>21100620.199416988</v>
      </c>
      <c r="H21" s="129">
        <f>SUM(H18:H20)</f>
        <v>-27049397.547648128</v>
      </c>
    </row>
  </sheetData>
  <mergeCells count="2">
    <mergeCell ref="C4:C5"/>
    <mergeCell ref="C16:C17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5:Q12"/>
  <sheetViews>
    <sheetView workbookViewId="0">
      <selection activeCell="L15" sqref="L15"/>
    </sheetView>
  </sheetViews>
  <sheetFormatPr baseColWidth="10" defaultColWidth="9.140625" defaultRowHeight="15" x14ac:dyDescent="0.25"/>
  <cols>
    <col min="5" max="5" width="10.5703125" bestFit="1" customWidth="1"/>
    <col min="6" max="6" width="9.5703125" bestFit="1" customWidth="1"/>
    <col min="7" max="7" width="11.5703125" bestFit="1" customWidth="1"/>
    <col min="9" max="9" width="11.5703125" bestFit="1" customWidth="1"/>
    <col min="10" max="10" width="12.140625" bestFit="1" customWidth="1"/>
    <col min="11" max="11" width="9.85546875" customWidth="1"/>
    <col min="12" max="12" width="12.42578125" bestFit="1" customWidth="1"/>
    <col min="17" max="17" width="40.85546875" customWidth="1"/>
  </cols>
  <sheetData>
    <row r="5" spans="3:17" ht="15.75" thickBot="1" x14ac:dyDescent="0.3"/>
    <row r="6" spans="3:17" ht="54" customHeight="1" thickBot="1" x14ac:dyDescent="0.3">
      <c r="C6" s="18" t="s">
        <v>86</v>
      </c>
      <c r="D6" s="20"/>
      <c r="E6" s="20" t="s">
        <v>94</v>
      </c>
      <c r="F6" s="20" t="s">
        <v>95</v>
      </c>
      <c r="G6" s="20"/>
      <c r="H6" s="20"/>
      <c r="I6" s="20" t="s">
        <v>96</v>
      </c>
      <c r="J6" s="20" t="s">
        <v>97</v>
      </c>
      <c r="K6" s="20" t="s">
        <v>98</v>
      </c>
      <c r="L6" s="30" t="s">
        <v>236</v>
      </c>
      <c r="P6" s="91" t="s">
        <v>233</v>
      </c>
      <c r="Q6" s="93" t="s">
        <v>234</v>
      </c>
    </row>
    <row r="7" spans="3:17" ht="31.5" x14ac:dyDescent="0.25">
      <c r="C7" s="217" t="s">
        <v>50</v>
      </c>
      <c r="D7" s="221" t="s">
        <v>99</v>
      </c>
      <c r="E7" s="25" t="s">
        <v>100</v>
      </c>
      <c r="F7" s="25" t="s">
        <v>101</v>
      </c>
      <c r="G7" s="25" t="s">
        <v>102</v>
      </c>
      <c r="H7" s="25" t="s">
        <v>103</v>
      </c>
      <c r="I7" s="25" t="s">
        <v>104</v>
      </c>
      <c r="J7" s="25" t="s">
        <v>105</v>
      </c>
      <c r="K7" s="221" t="s">
        <v>106</v>
      </c>
      <c r="L7" s="25" t="s">
        <v>107</v>
      </c>
      <c r="Q7" s="94" t="s">
        <v>235</v>
      </c>
    </row>
    <row r="8" spans="3:17" ht="16.5" thickBot="1" x14ac:dyDescent="0.3">
      <c r="C8" s="218"/>
      <c r="D8" s="222"/>
      <c r="E8" s="24" t="s">
        <v>47</v>
      </c>
      <c r="F8" s="24" t="s">
        <v>47</v>
      </c>
      <c r="G8" s="24" t="s">
        <v>47</v>
      </c>
      <c r="H8" s="24" t="s">
        <v>47</v>
      </c>
      <c r="I8" s="24" t="s">
        <v>47</v>
      </c>
      <c r="J8" s="24" t="s">
        <v>47</v>
      </c>
      <c r="K8" s="222"/>
      <c r="L8" s="24" t="s">
        <v>91</v>
      </c>
    </row>
    <row r="9" spans="3:17" ht="15.75" thickBot="1" x14ac:dyDescent="0.3">
      <c r="C9" s="26">
        <v>2019</v>
      </c>
      <c r="D9" s="31">
        <v>0.19700000000000001</v>
      </c>
      <c r="E9" s="119">
        <f>baseline_tables_2020!G28</f>
        <v>12409.38</v>
      </c>
      <c r="F9" s="29">
        <f>D9*E9</f>
        <v>2444.64786</v>
      </c>
      <c r="G9" s="29">
        <f>'Defor actual'!G19</f>
        <v>24.375205679999997</v>
      </c>
      <c r="H9" s="29">
        <f>'Defor actual'!M19</f>
        <v>20069.720999999998</v>
      </c>
      <c r="I9" s="29">
        <f>(G9+H9)*D9</f>
        <v>3958.5369525189599</v>
      </c>
      <c r="J9" s="29">
        <f>F9-I9</f>
        <v>-1513.8890925189598</v>
      </c>
      <c r="K9" s="28">
        <v>1.0489999999999999</v>
      </c>
      <c r="L9" s="28">
        <v>0</v>
      </c>
    </row>
    <row r="10" spans="3:17" ht="15.75" thickBot="1" x14ac:dyDescent="0.3">
      <c r="C10" s="26">
        <v>2020</v>
      </c>
      <c r="D10" s="31">
        <v>0.19700000000000001</v>
      </c>
      <c r="E10" s="119">
        <f>baseline_tables_2020!G29</f>
        <v>12409.38</v>
      </c>
      <c r="F10" s="29">
        <f>D10*E10</f>
        <v>2444.64786</v>
      </c>
      <c r="G10" s="29">
        <f>'Defor actual'!G20</f>
        <v>24.375205679999997</v>
      </c>
      <c r="H10" s="29">
        <f>'Defor actual'!M20</f>
        <v>20069.720999999998</v>
      </c>
      <c r="I10" s="29">
        <f>(G10+H10)*D10</f>
        <v>3958.5369525189599</v>
      </c>
      <c r="J10" s="29">
        <f>F10-I10</f>
        <v>-1513.8890925189598</v>
      </c>
      <c r="K10" s="28">
        <v>1.0489999999999999</v>
      </c>
      <c r="L10" s="28">
        <v>0</v>
      </c>
    </row>
    <row r="11" spans="3:17" ht="15.75" thickBot="1" x14ac:dyDescent="0.3">
      <c r="C11" s="26">
        <v>2021</v>
      </c>
      <c r="D11" s="31">
        <v>0.19700000000000001</v>
      </c>
      <c r="E11" s="119">
        <f>baseline_tables_2020!G30</f>
        <v>4963.7520000000004</v>
      </c>
      <c r="F11" s="29">
        <f>D11*E11</f>
        <v>977.85914400000013</v>
      </c>
      <c r="G11" s="29">
        <f>'Defor actual'!G21</f>
        <v>9.2857926400000004</v>
      </c>
      <c r="H11" s="29">
        <f>'Defor actual'!M21</f>
        <v>7645.6080000000002</v>
      </c>
      <c r="I11" s="29">
        <f>(G11+H11)*D11</f>
        <v>1508.0140771500801</v>
      </c>
      <c r="J11" s="29">
        <f>F11-I11</f>
        <v>-530.15493315007996</v>
      </c>
      <c r="K11" s="28">
        <v>1.0489999999999999</v>
      </c>
      <c r="L11" s="28">
        <v>0</v>
      </c>
    </row>
    <row r="12" spans="3:17" ht="26.25" thickBot="1" x14ac:dyDescent="0.3">
      <c r="C12" s="26" t="s">
        <v>310</v>
      </c>
      <c r="D12" s="28"/>
      <c r="E12" s="119">
        <f>SUM(E9:E11)</f>
        <v>29782.511999999999</v>
      </c>
      <c r="F12" s="119">
        <f t="shared" ref="F12:L12" si="0">SUM(F9:F11)</f>
        <v>5867.1548640000001</v>
      </c>
      <c r="G12" s="119">
        <f t="shared" si="0"/>
        <v>58.036203999999998</v>
      </c>
      <c r="H12" s="119">
        <f t="shared" si="0"/>
        <v>47785.049999999996</v>
      </c>
      <c r="I12" s="119">
        <f t="shared" si="0"/>
        <v>9425.0879821880008</v>
      </c>
      <c r="J12" s="119">
        <f t="shared" si="0"/>
        <v>-3557.9331181879998</v>
      </c>
      <c r="K12" s="119">
        <f t="shared" si="0"/>
        <v>3.1469999999999998</v>
      </c>
      <c r="L12" s="119">
        <f t="shared" si="0"/>
        <v>0</v>
      </c>
    </row>
  </sheetData>
  <mergeCells count="3">
    <mergeCell ref="C7:C8"/>
    <mergeCell ref="D7:D8"/>
    <mergeCell ref="K7:K8"/>
  </mergeCells>
  <pageMargins left="0.7" right="0.7" top="0.75" bottom="0.75" header="0.3" footer="0.3"/>
  <pageSetup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5122" r:id="rId4">
          <objectPr defaultSize="0" autoPict="0" r:id="rId5">
            <anchor moveWithCells="1" sizeWithCells="1">
              <from>
                <xdr:col>16</xdr:col>
                <xdr:colOff>0</xdr:colOff>
                <xdr:row>7</xdr:row>
                <xdr:rowOff>0</xdr:rowOff>
              </from>
              <to>
                <xdr:col>16</xdr:col>
                <xdr:colOff>866775</xdr:colOff>
                <xdr:row>8</xdr:row>
                <xdr:rowOff>0</xdr:rowOff>
              </to>
            </anchor>
          </objectPr>
        </oleObject>
      </mc:Choice>
      <mc:Fallback>
        <oleObject progId="Equation.3" shapeId="5122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23"/>
  <sheetViews>
    <sheetView workbookViewId="0"/>
  </sheetViews>
  <sheetFormatPr baseColWidth="10" defaultColWidth="9.140625" defaultRowHeight="15" x14ac:dyDescent="0.25"/>
  <cols>
    <col min="2" max="2" width="35" customWidth="1"/>
    <col min="3" max="3" width="23" customWidth="1"/>
    <col min="4" max="4" width="28.85546875" customWidth="1"/>
    <col min="5" max="5" width="25.140625" customWidth="1"/>
    <col min="6" max="6" width="18.140625" customWidth="1"/>
    <col min="7" max="7" width="19.42578125" bestFit="1" customWidth="1"/>
    <col min="8" max="8" width="30.140625" bestFit="1" customWidth="1"/>
    <col min="9" max="9" width="30.5703125" customWidth="1"/>
    <col min="10" max="10" width="15.5703125" customWidth="1"/>
    <col min="11" max="11" width="15.140625" customWidth="1"/>
    <col min="12" max="12" width="16" bestFit="1" customWidth="1"/>
  </cols>
  <sheetData>
    <row r="1" spans="2:9" ht="15.75" thickBot="1" x14ac:dyDescent="0.3">
      <c r="D1" t="s">
        <v>249</v>
      </c>
      <c r="E1" t="s">
        <v>250</v>
      </c>
      <c r="F1" t="s">
        <v>251</v>
      </c>
    </row>
    <row r="2" spans="2:9" ht="15.75" thickBot="1" x14ac:dyDescent="0.3">
      <c r="B2" s="2" t="s">
        <v>23</v>
      </c>
      <c r="C2" s="3" t="s">
        <v>24</v>
      </c>
      <c r="D2" s="3" t="s">
        <v>252</v>
      </c>
      <c r="E2" s="3" t="s">
        <v>253</v>
      </c>
      <c r="F2" s="3" t="s">
        <v>254</v>
      </c>
    </row>
    <row r="3" spans="2:9" ht="15.75" thickBot="1" x14ac:dyDescent="0.3">
      <c r="B3" s="4" t="s">
        <v>25</v>
      </c>
      <c r="C3" s="5" t="s">
        <v>26</v>
      </c>
      <c r="D3" s="114">
        <v>213.76666666666665</v>
      </c>
      <c r="E3" s="33">
        <v>53.166666666666664</v>
      </c>
      <c r="F3" s="33">
        <v>28.233333333333334</v>
      </c>
    </row>
    <row r="4" spans="2:9" ht="15.75" thickBot="1" x14ac:dyDescent="0.3">
      <c r="B4" s="4" t="s">
        <v>27</v>
      </c>
      <c r="C4" s="5" t="s">
        <v>26</v>
      </c>
      <c r="D4" s="114">
        <v>350.5333333333333</v>
      </c>
      <c r="E4" s="33">
        <v>84.333333333333329</v>
      </c>
      <c r="F4" s="33">
        <v>31.899999999999995</v>
      </c>
    </row>
    <row r="5" spans="2:9" ht="15.75" thickBot="1" x14ac:dyDescent="0.3">
      <c r="B5" s="4" t="s">
        <v>28</v>
      </c>
      <c r="C5" s="5" t="s">
        <v>26</v>
      </c>
      <c r="D5" s="114">
        <v>282.7</v>
      </c>
      <c r="E5" s="33">
        <v>68.933333333333337</v>
      </c>
      <c r="F5" s="33">
        <v>21.266666666666666</v>
      </c>
    </row>
    <row r="6" spans="2:9" ht="15.75" thickBot="1" x14ac:dyDescent="0.3">
      <c r="B6" s="4" t="s">
        <v>29</v>
      </c>
      <c r="C6" s="5" t="s">
        <v>26</v>
      </c>
      <c r="D6" s="114">
        <v>508.93333333333334</v>
      </c>
      <c r="E6" s="33">
        <v>119.16666666666666</v>
      </c>
      <c r="F6" s="33">
        <v>43.633333333333333</v>
      </c>
    </row>
    <row r="7" spans="2:9" ht="15.75" thickBot="1" x14ac:dyDescent="0.3">
      <c r="B7" s="4" t="s">
        <v>30</v>
      </c>
      <c r="C7" s="6" t="s">
        <v>31</v>
      </c>
      <c r="D7" s="114">
        <v>454.75470824945768</v>
      </c>
      <c r="E7" s="33">
        <v>107.55937353125377</v>
      </c>
      <c r="F7" s="33">
        <v>42.324715832956713</v>
      </c>
    </row>
    <row r="8" spans="2:9" ht="15.75" thickBot="1" x14ac:dyDescent="0.3">
      <c r="B8" s="4" t="s">
        <v>32</v>
      </c>
      <c r="C8" s="6" t="s">
        <v>31</v>
      </c>
      <c r="D8" s="114">
        <v>343.44101410671715</v>
      </c>
      <c r="E8" s="33">
        <v>82.936493771912595</v>
      </c>
      <c r="F8" s="33">
        <v>32.092930700542013</v>
      </c>
    </row>
    <row r="9" spans="2:9" ht="15.75" thickBot="1" x14ac:dyDescent="0.3">
      <c r="B9" s="7" t="s">
        <v>33</v>
      </c>
      <c r="C9" s="6" t="s">
        <v>31</v>
      </c>
      <c r="D9" s="114">
        <v>366.20096876015486</v>
      </c>
      <c r="E9" s="33">
        <v>88.013809645361434</v>
      </c>
      <c r="F9" s="33">
        <v>34.188209127296886</v>
      </c>
    </row>
    <row r="10" spans="2:9" ht="15.75" thickBot="1" x14ac:dyDescent="0.3">
      <c r="B10" s="7" t="s">
        <v>34</v>
      </c>
      <c r="C10" s="6" t="s">
        <v>35</v>
      </c>
      <c r="D10" s="114">
        <v>31.092608461538461</v>
      </c>
      <c r="E10" s="33">
        <v>10.211694315275391</v>
      </c>
      <c r="F10" s="33">
        <v>0</v>
      </c>
    </row>
    <row r="14" spans="2:9" ht="60" x14ac:dyDescent="0.25">
      <c r="C14" s="1" t="s">
        <v>60</v>
      </c>
      <c r="D14" s="1" t="s">
        <v>64</v>
      </c>
      <c r="E14" s="1" t="s">
        <v>63</v>
      </c>
      <c r="F14" s="1"/>
      <c r="I14" s="1"/>
    </row>
    <row r="15" spans="2:9" x14ac:dyDescent="0.25">
      <c r="B15" s="9" t="s">
        <v>62</v>
      </c>
      <c r="C15" s="9" t="s">
        <v>58</v>
      </c>
      <c r="D15" s="9" t="s">
        <v>61</v>
      </c>
      <c r="E15" s="9" t="s">
        <v>59</v>
      </c>
      <c r="F15" s="9" t="s">
        <v>57</v>
      </c>
      <c r="I15" s="1"/>
    </row>
    <row r="16" spans="2:9" x14ac:dyDescent="0.25">
      <c r="B16" s="12" t="s">
        <v>25</v>
      </c>
      <c r="C16" s="115">
        <f t="shared" ref="C16:C22" si="0">SUM(D3:F3)</f>
        <v>295.16666666666669</v>
      </c>
      <c r="D16" s="116">
        <f t="shared" ref="D16:D22" si="1">SUM($D$10:$F$10)</f>
        <v>41.304302776813856</v>
      </c>
      <c r="E16" s="8">
        <v>0</v>
      </c>
      <c r="F16" s="116">
        <f>C16-D16-E16</f>
        <v>253.86236388985282</v>
      </c>
      <c r="I16" s="1"/>
    </row>
    <row r="17" spans="2:6" x14ac:dyDescent="0.25">
      <c r="B17" s="12" t="s">
        <v>67</v>
      </c>
      <c r="C17" s="115">
        <f t="shared" si="0"/>
        <v>466.76666666666659</v>
      </c>
      <c r="D17" s="116">
        <f t="shared" si="1"/>
        <v>41.304302776813856</v>
      </c>
      <c r="E17" s="8">
        <v>0</v>
      </c>
      <c r="F17" s="116">
        <f t="shared" ref="F17:F22" si="2">C17-D17-E17</f>
        <v>425.46236388985272</v>
      </c>
    </row>
    <row r="18" spans="2:6" x14ac:dyDescent="0.25">
      <c r="B18" s="12" t="s">
        <v>69</v>
      </c>
      <c r="C18" s="115">
        <f t="shared" si="0"/>
        <v>372.9</v>
      </c>
      <c r="D18" s="116">
        <f t="shared" si="1"/>
        <v>41.304302776813856</v>
      </c>
      <c r="E18" s="8">
        <v>0</v>
      </c>
      <c r="F18" s="116">
        <f t="shared" si="2"/>
        <v>331.59569722318611</v>
      </c>
    </row>
    <row r="19" spans="2:6" x14ac:dyDescent="0.25">
      <c r="B19" s="12" t="s">
        <v>29</v>
      </c>
      <c r="C19" s="115">
        <f t="shared" si="0"/>
        <v>671.73333333333335</v>
      </c>
      <c r="D19" s="116">
        <f t="shared" si="1"/>
        <v>41.304302776813856</v>
      </c>
      <c r="E19" s="8">
        <v>0</v>
      </c>
      <c r="F19" s="116">
        <f t="shared" si="2"/>
        <v>630.42903055651948</v>
      </c>
    </row>
    <row r="20" spans="2:6" x14ac:dyDescent="0.25">
      <c r="B20" s="12" t="s">
        <v>30</v>
      </c>
      <c r="C20" s="115">
        <f t="shared" si="0"/>
        <v>604.6387976136682</v>
      </c>
      <c r="D20" s="116">
        <f t="shared" si="1"/>
        <v>41.304302776813856</v>
      </c>
      <c r="E20" s="8">
        <v>0</v>
      </c>
      <c r="F20" s="116">
        <f t="shared" si="2"/>
        <v>563.33449483685433</v>
      </c>
    </row>
    <row r="21" spans="2:6" x14ac:dyDescent="0.25">
      <c r="B21" s="12" t="s">
        <v>32</v>
      </c>
      <c r="C21" s="115">
        <f t="shared" si="0"/>
        <v>458.47043857917174</v>
      </c>
      <c r="D21" s="116">
        <f t="shared" si="1"/>
        <v>41.304302776813856</v>
      </c>
      <c r="E21" s="8">
        <v>0</v>
      </c>
      <c r="F21" s="116">
        <f t="shared" si="2"/>
        <v>417.16613580235787</v>
      </c>
    </row>
    <row r="22" spans="2:6" x14ac:dyDescent="0.25">
      <c r="B22" s="11" t="s">
        <v>33</v>
      </c>
      <c r="C22" s="115">
        <f t="shared" si="0"/>
        <v>488.4029875328132</v>
      </c>
      <c r="D22" s="116">
        <f t="shared" si="1"/>
        <v>41.304302776813856</v>
      </c>
      <c r="E22" s="8">
        <v>0</v>
      </c>
      <c r="F22" s="116">
        <f t="shared" si="2"/>
        <v>447.09868475599933</v>
      </c>
    </row>
    <row r="23" spans="2:6" x14ac:dyDescent="0.25">
      <c r="B23" s="223" t="s">
        <v>65</v>
      </c>
      <c r="C23" s="224"/>
      <c r="D23" s="224"/>
    </row>
  </sheetData>
  <mergeCells count="1">
    <mergeCell ref="B23:D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O24"/>
  <sheetViews>
    <sheetView tabSelected="1" workbookViewId="0">
      <selection activeCell="J17" sqref="J17"/>
    </sheetView>
  </sheetViews>
  <sheetFormatPr baseColWidth="10" defaultColWidth="9.140625" defaultRowHeight="15" x14ac:dyDescent="0.25"/>
  <cols>
    <col min="1" max="1" width="19.85546875" bestFit="1" customWidth="1"/>
    <col min="2" max="2" width="17.140625" customWidth="1"/>
    <col min="3" max="3" width="15.85546875" bestFit="1" customWidth="1"/>
    <col min="4" max="4" width="11.5703125" customWidth="1"/>
    <col min="5" max="5" width="12.42578125" customWidth="1"/>
    <col min="6" max="6" width="12.5703125" bestFit="1" customWidth="1"/>
    <col min="7" max="7" width="21.140625" customWidth="1"/>
    <col min="9" max="9" width="6.5703125" customWidth="1"/>
    <col min="10" max="10" width="18.5703125" customWidth="1"/>
    <col min="11" max="11" width="19.5703125" customWidth="1"/>
    <col min="12" max="12" width="19.140625" customWidth="1"/>
    <col min="13" max="13" width="12.85546875" bestFit="1" customWidth="1"/>
    <col min="14" max="14" width="12.140625" customWidth="1"/>
    <col min="15" max="15" width="9.140625" bestFit="1" customWidth="1"/>
  </cols>
  <sheetData>
    <row r="3" spans="1:15" x14ac:dyDescent="0.25">
      <c r="B3" s="50"/>
      <c r="C3" s="225" t="s">
        <v>72</v>
      </c>
      <c r="D3" s="226"/>
      <c r="E3" s="226"/>
      <c r="F3" s="226"/>
      <c r="G3" s="227"/>
      <c r="J3" s="50"/>
      <c r="K3" s="225" t="s">
        <v>10</v>
      </c>
      <c r="L3" s="226"/>
      <c r="M3" s="226"/>
      <c r="N3" s="226"/>
      <c r="O3" s="227"/>
    </row>
    <row r="4" spans="1:15" ht="30" x14ac:dyDescent="0.25">
      <c r="B4" s="51" t="s">
        <v>50</v>
      </c>
      <c r="C4" s="47" t="s">
        <v>41</v>
      </c>
      <c r="D4" s="52" t="s">
        <v>70</v>
      </c>
      <c r="E4" s="47" t="s">
        <v>42</v>
      </c>
      <c r="F4" s="52" t="s">
        <v>68</v>
      </c>
      <c r="G4" s="46" t="s">
        <v>43</v>
      </c>
      <c r="J4" s="51" t="s">
        <v>50</v>
      </c>
      <c r="K4" s="47" t="s">
        <v>41</v>
      </c>
      <c r="L4" s="52" t="s">
        <v>70</v>
      </c>
      <c r="M4" s="47" t="s">
        <v>42</v>
      </c>
      <c r="N4" s="52" t="s">
        <v>68</v>
      </c>
      <c r="O4" s="46" t="s">
        <v>43</v>
      </c>
    </row>
    <row r="5" spans="1:15" x14ac:dyDescent="0.25">
      <c r="B5" s="39">
        <v>2019</v>
      </c>
      <c r="C5" s="49">
        <f>B20*0.42</f>
        <v>63.262162320000002</v>
      </c>
      <c r="D5" s="49">
        <f>B21*0.42</f>
        <v>103.20726695999998</v>
      </c>
      <c r="E5" s="49">
        <f>B22*0.42</f>
        <v>26.982786180000002</v>
      </c>
      <c r="F5" s="49">
        <v>0</v>
      </c>
      <c r="G5" s="49">
        <f>SUM(C5:F5)</f>
        <v>193.45221545999999</v>
      </c>
      <c r="J5" s="39">
        <v>2019</v>
      </c>
      <c r="K5" s="89">
        <f>C5*$F$11</f>
        <v>18672.881578120003</v>
      </c>
      <c r="L5" s="89">
        <f>D5*F$12</f>
        <v>48173.711974695987</v>
      </c>
      <c r="M5" s="89">
        <f>E5*F$13</f>
        <v>18125.236903312001</v>
      </c>
      <c r="N5" s="89">
        <f>F5*F$14</f>
        <v>0</v>
      </c>
      <c r="O5" s="89">
        <f>SUM(K5:N5)</f>
        <v>84971.830456127995</v>
      </c>
    </row>
    <row r="6" spans="1:15" x14ac:dyDescent="0.25">
      <c r="B6" s="39">
        <v>2020</v>
      </c>
      <c r="C6" s="49">
        <f>B20*0.42</f>
        <v>63.262162320000002</v>
      </c>
      <c r="D6" s="49">
        <f>B21*0.42</f>
        <v>103.20726695999998</v>
      </c>
      <c r="E6" s="49">
        <f>B22*0.42</f>
        <v>26.982786180000002</v>
      </c>
      <c r="F6" s="49"/>
      <c r="G6" s="49">
        <f t="shared" ref="G6:G7" si="0">SUM(C6:F6)</f>
        <v>193.45221545999999</v>
      </c>
      <c r="J6" s="39">
        <v>2020</v>
      </c>
      <c r="K6" s="89">
        <f>C6*$F$11</f>
        <v>18672.881578120003</v>
      </c>
      <c r="L6" s="89">
        <f>D6*F$12</f>
        <v>48173.711974695987</v>
      </c>
      <c r="M6" s="89">
        <f>E6*F$13</f>
        <v>18125.236903312001</v>
      </c>
      <c r="N6" s="89">
        <f t="shared" ref="N6:N7" si="1">F6*F$14</f>
        <v>0</v>
      </c>
      <c r="O6" s="89">
        <f>SUM(K6:N6)</f>
        <v>84971.830456127995</v>
      </c>
    </row>
    <row r="7" spans="1:15" x14ac:dyDescent="0.25">
      <c r="B7" s="39">
        <v>2021</v>
      </c>
      <c r="C7" s="48">
        <f>B20*0.16</f>
        <v>24.099871360000002</v>
      </c>
      <c r="D7" s="48">
        <f>B21*0.16</f>
        <v>39.317054079999998</v>
      </c>
      <c r="E7" s="48">
        <f>B22*0.16</f>
        <v>10.279156640000002</v>
      </c>
      <c r="F7" s="48"/>
      <c r="G7" s="49">
        <f t="shared" si="0"/>
        <v>73.696082079999996</v>
      </c>
      <c r="J7" s="39">
        <v>2021</v>
      </c>
      <c r="K7" s="89">
        <f>C7*$F$11</f>
        <v>7113.4786964266677</v>
      </c>
      <c r="L7" s="89">
        <f>D7*F$12</f>
        <v>18351.890276074664</v>
      </c>
      <c r="M7" s="89">
        <f>E7*F$13</f>
        <v>6904.8521536426679</v>
      </c>
      <c r="N7" s="89">
        <f t="shared" si="1"/>
        <v>0</v>
      </c>
      <c r="O7" s="89">
        <f>SUM(K7:N7)</f>
        <v>32370.221126143999</v>
      </c>
    </row>
    <row r="8" spans="1:15" ht="15.75" thickBot="1" x14ac:dyDescent="0.3">
      <c r="B8" s="40" t="s">
        <v>310</v>
      </c>
      <c r="C8" s="168">
        <f>SUM(C5:C7)</f>
        <v>150.62419600000001</v>
      </c>
      <c r="D8" s="168">
        <f t="shared" ref="D8:G8" si="2">SUM(D5:D7)</f>
        <v>245.73158799999996</v>
      </c>
      <c r="E8" s="168">
        <f t="shared" si="2"/>
        <v>64.244729000000007</v>
      </c>
      <c r="F8" s="168">
        <f t="shared" si="2"/>
        <v>0</v>
      </c>
      <c r="G8" s="168">
        <f t="shared" si="2"/>
        <v>460.60051299999998</v>
      </c>
      <c r="J8" s="40" t="s">
        <v>310</v>
      </c>
      <c r="K8" s="90">
        <f>SUM(K5:K7)</f>
        <v>44459.241852666673</v>
      </c>
      <c r="L8" s="90">
        <f t="shared" ref="L8:N8" si="3">SUM(L5:L7)</f>
        <v>114699.31422546663</v>
      </c>
      <c r="M8" s="90">
        <f t="shared" si="3"/>
        <v>43155.325960266673</v>
      </c>
      <c r="N8" s="90">
        <f t="shared" si="3"/>
        <v>0</v>
      </c>
      <c r="O8" s="90">
        <f>SUM(O5:O6)</f>
        <v>169943.66091225599</v>
      </c>
    </row>
    <row r="9" spans="1:15" x14ac:dyDescent="0.25">
      <c r="A9" s="45"/>
    </row>
    <row r="10" spans="1:15" x14ac:dyDescent="0.25">
      <c r="B10" s="9" t="s">
        <v>232</v>
      </c>
      <c r="C10" s="9" t="s">
        <v>58</v>
      </c>
      <c r="D10" s="9" t="s">
        <v>73</v>
      </c>
      <c r="E10" s="9" t="s">
        <v>74</v>
      </c>
      <c r="F10" s="9" t="s">
        <v>71</v>
      </c>
    </row>
    <row r="11" spans="1:15" ht="23.25" x14ac:dyDescent="0.25">
      <c r="B11" s="9" t="s">
        <v>41</v>
      </c>
      <c r="C11" s="116">
        <f>Stocks!C16</f>
        <v>295.16666666666669</v>
      </c>
      <c r="D11" s="116">
        <v>0</v>
      </c>
      <c r="E11" s="116">
        <v>0</v>
      </c>
      <c r="F11" s="116">
        <f>C11-D11-E11</f>
        <v>295.16666666666669</v>
      </c>
      <c r="H11" s="121"/>
      <c r="O11" s="169"/>
    </row>
    <row r="12" spans="1:15" x14ac:dyDescent="0.25">
      <c r="B12" s="9" t="s">
        <v>70</v>
      </c>
      <c r="C12" s="116">
        <f>Stocks!C17</f>
        <v>466.76666666666659</v>
      </c>
      <c r="D12" s="116">
        <v>0</v>
      </c>
      <c r="E12" s="116">
        <v>0</v>
      </c>
      <c r="F12" s="116">
        <f>C12-D12-E12</f>
        <v>466.76666666666659</v>
      </c>
    </row>
    <row r="13" spans="1:15" x14ac:dyDescent="0.25">
      <c r="B13" s="9" t="s">
        <v>42</v>
      </c>
      <c r="C13" s="116">
        <f>Stocks!C19</f>
        <v>671.73333333333335</v>
      </c>
      <c r="D13" s="116">
        <v>0</v>
      </c>
      <c r="E13" s="116">
        <v>0</v>
      </c>
      <c r="F13" s="116">
        <f>C13-D13-E13</f>
        <v>671.73333333333335</v>
      </c>
    </row>
    <row r="14" spans="1:15" x14ac:dyDescent="0.25">
      <c r="B14" s="9" t="s">
        <v>68</v>
      </c>
      <c r="C14" s="116">
        <f>Stocks!C18</f>
        <v>372.9</v>
      </c>
      <c r="D14" s="116">
        <v>0</v>
      </c>
      <c r="E14" s="116">
        <v>0</v>
      </c>
      <c r="F14" s="116">
        <f>C14-D14-E14</f>
        <v>372.9</v>
      </c>
      <c r="H14" s="122"/>
      <c r="I14" s="122"/>
    </row>
    <row r="15" spans="1:15" x14ac:dyDescent="0.25">
      <c r="H15" s="118"/>
      <c r="I15" s="118"/>
      <c r="J15" s="118"/>
    </row>
    <row r="16" spans="1:15" x14ac:dyDescent="0.25">
      <c r="H16" s="118"/>
      <c r="J16" s="118"/>
    </row>
    <row r="17" spans="2:10" x14ac:dyDescent="0.25">
      <c r="H17" s="118"/>
      <c r="J17" s="118"/>
    </row>
    <row r="18" spans="2:10" x14ac:dyDescent="0.25">
      <c r="H18" s="118"/>
      <c r="J18" s="118"/>
    </row>
    <row r="19" spans="2:10" x14ac:dyDescent="0.25">
      <c r="B19" s="8" t="s">
        <v>311</v>
      </c>
      <c r="C19" s="8"/>
    </row>
    <row r="20" spans="2:10" ht="36.950000000000003" customHeight="1" x14ac:dyDescent="0.25">
      <c r="B20" s="116">
        <v>150.62419600000001</v>
      </c>
      <c r="C20" s="8" t="s">
        <v>36</v>
      </c>
    </row>
    <row r="21" spans="2:10" ht="23.45" customHeight="1" x14ac:dyDescent="0.25">
      <c r="B21" s="116">
        <v>245.73158799999999</v>
      </c>
      <c r="C21" s="8" t="s">
        <v>37</v>
      </c>
    </row>
    <row r="22" spans="2:10" ht="26.1" customHeight="1" x14ac:dyDescent="0.25">
      <c r="B22" s="116">
        <v>64.244729000000007</v>
      </c>
      <c r="C22" s="8" t="s">
        <v>38</v>
      </c>
    </row>
    <row r="23" spans="2:10" ht="83.25" customHeight="1" x14ac:dyDescent="0.25"/>
    <row r="24" spans="2:10" ht="30" customHeight="1" x14ac:dyDescent="0.25"/>
  </sheetData>
  <mergeCells count="2">
    <mergeCell ref="C3:G3"/>
    <mergeCell ref="K3:O3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X52"/>
  <sheetViews>
    <sheetView zoomScale="80" zoomScaleNormal="80" workbookViewId="0">
      <selection activeCell="F6" sqref="F6:F9"/>
    </sheetView>
  </sheetViews>
  <sheetFormatPr baseColWidth="10" defaultColWidth="9.140625" defaultRowHeight="15" x14ac:dyDescent="0.25"/>
  <cols>
    <col min="1" max="1" width="9.140625" customWidth="1"/>
    <col min="2" max="2" width="20.85546875" customWidth="1"/>
    <col min="3" max="3" width="11.85546875" customWidth="1"/>
    <col min="4" max="4" width="18.7109375" customWidth="1"/>
    <col min="5" max="5" width="27.140625" customWidth="1"/>
    <col min="6" max="6" width="15.42578125" customWidth="1"/>
    <col min="7" max="7" width="11.140625" customWidth="1"/>
    <col min="8" max="8" width="46.140625" customWidth="1"/>
    <col min="9" max="9" width="35.140625" customWidth="1"/>
    <col min="10" max="10" width="21.140625" customWidth="1"/>
    <col min="11" max="11" width="22.140625" customWidth="1"/>
    <col min="12" max="12" width="13.85546875" customWidth="1"/>
    <col min="13" max="13" width="17.28515625" customWidth="1"/>
    <col min="15" max="15" width="11.42578125" bestFit="1" customWidth="1"/>
    <col min="18" max="18" width="11" bestFit="1" customWidth="1"/>
    <col min="19" max="19" width="10.5703125" bestFit="1" customWidth="1"/>
    <col min="20" max="20" width="20.42578125" bestFit="1" customWidth="1"/>
    <col min="21" max="21" width="32" bestFit="1" customWidth="1"/>
    <col min="22" max="22" width="25.85546875" bestFit="1" customWidth="1"/>
    <col min="23" max="23" width="13.42578125" bestFit="1" customWidth="1"/>
    <col min="24" max="24" width="13.140625" bestFit="1" customWidth="1"/>
  </cols>
  <sheetData>
    <row r="1" spans="2:24" ht="63" customHeight="1" x14ac:dyDescent="0.25">
      <c r="B1" s="13" t="s">
        <v>54</v>
      </c>
      <c r="C1" s="13" t="s">
        <v>56</v>
      </c>
      <c r="D1" s="17" t="s">
        <v>85</v>
      </c>
      <c r="E1" s="16" t="s">
        <v>84</v>
      </c>
      <c r="G1" s="111"/>
      <c r="H1" s="112"/>
      <c r="I1" s="1"/>
    </row>
    <row r="2" spans="2:24" x14ac:dyDescent="0.25">
      <c r="B2" t="s">
        <v>22</v>
      </c>
    </row>
    <row r="3" spans="2:24" x14ac:dyDescent="0.25">
      <c r="H3" s="122"/>
      <c r="I3" s="122"/>
      <c r="J3" s="166"/>
    </row>
    <row r="4" spans="2:24" ht="16.5" thickBot="1" x14ac:dyDescent="0.3">
      <c r="C4" s="8"/>
      <c r="D4" s="8" t="s">
        <v>48</v>
      </c>
      <c r="E4" s="8" t="s">
        <v>78</v>
      </c>
      <c r="F4" s="120" t="s">
        <v>79</v>
      </c>
      <c r="G4" s="8" t="s">
        <v>48</v>
      </c>
      <c r="H4" s="118"/>
      <c r="I4" s="165" t="s">
        <v>292</v>
      </c>
      <c r="J4" s="167" t="s">
        <v>295</v>
      </c>
      <c r="S4" s="101"/>
      <c r="X4" s="101"/>
    </row>
    <row r="5" spans="2:24" ht="16.5" thickBot="1" x14ac:dyDescent="0.3">
      <c r="C5" s="8" t="s">
        <v>46</v>
      </c>
      <c r="D5" s="8" t="s">
        <v>47</v>
      </c>
      <c r="E5" s="8" t="s">
        <v>47</v>
      </c>
      <c r="F5" s="8" t="s">
        <v>47</v>
      </c>
      <c r="G5" s="8" t="s">
        <v>47</v>
      </c>
      <c r="H5" s="118"/>
      <c r="I5" s="165" t="s">
        <v>75</v>
      </c>
      <c r="J5" s="215">
        <v>6193.98</v>
      </c>
      <c r="K5" s="203"/>
      <c r="P5" s="102"/>
      <c r="Q5" s="102"/>
      <c r="R5" s="102"/>
      <c r="S5" s="103"/>
      <c r="U5" s="102"/>
      <c r="V5" s="102"/>
      <c r="W5" s="102"/>
      <c r="X5" s="104"/>
    </row>
    <row r="6" spans="2:24" ht="16.5" thickBot="1" x14ac:dyDescent="0.3">
      <c r="C6" s="8" t="s">
        <v>36</v>
      </c>
      <c r="D6" s="8">
        <f>SUM(E6:F6)</f>
        <v>154.22334000000001</v>
      </c>
      <c r="E6" s="213">
        <v>3.5991439999999999</v>
      </c>
      <c r="F6" s="214">
        <v>150.62419600000001</v>
      </c>
      <c r="G6" s="139">
        <f>D6</f>
        <v>154.22334000000001</v>
      </c>
      <c r="H6" s="118"/>
      <c r="I6" s="165" t="s">
        <v>293</v>
      </c>
      <c r="J6" s="215">
        <v>6710.85</v>
      </c>
      <c r="K6" s="118"/>
      <c r="M6" s="142"/>
      <c r="N6" s="118"/>
      <c r="P6" s="102"/>
      <c r="Q6" s="102"/>
      <c r="R6" s="102"/>
      <c r="S6" s="103"/>
      <c r="U6" s="102"/>
      <c r="V6" s="102"/>
      <c r="W6" s="102"/>
      <c r="X6" s="104"/>
    </row>
    <row r="7" spans="2:24" ht="16.5" thickBot="1" x14ac:dyDescent="0.3">
      <c r="C7" s="8" t="s">
        <v>37</v>
      </c>
      <c r="D7" s="8">
        <f t="shared" ref="D7:D9" si="0">SUM(E7:F7)</f>
        <v>263.27741800000001</v>
      </c>
      <c r="E7" s="213">
        <v>16.286128999999999</v>
      </c>
      <c r="F7">
        <v>246.99128899999999</v>
      </c>
      <c r="G7" s="139">
        <f>D7</f>
        <v>263.27741800000001</v>
      </c>
      <c r="H7" s="118"/>
      <c r="I7" s="165" t="s">
        <v>294</v>
      </c>
      <c r="J7" s="215">
        <v>34880.22</v>
      </c>
      <c r="K7" s="118"/>
      <c r="M7" s="143"/>
      <c r="N7" s="118"/>
      <c r="P7" s="102"/>
      <c r="Q7" s="102"/>
      <c r="R7" s="102"/>
      <c r="S7" s="103"/>
      <c r="U7" s="102"/>
      <c r="V7" s="102"/>
      <c r="W7" s="102"/>
      <c r="X7" s="104"/>
    </row>
    <row r="8" spans="2:24" ht="16.5" thickBot="1" x14ac:dyDescent="0.3">
      <c r="C8" s="8" t="s">
        <v>38</v>
      </c>
      <c r="D8" s="8">
        <f t="shared" si="0"/>
        <v>100.23617400000001</v>
      </c>
      <c r="E8" s="213">
        <v>37.251145000000001</v>
      </c>
      <c r="F8" s="214">
        <v>62.985029000000004</v>
      </c>
      <c r="G8" s="139">
        <f>D8</f>
        <v>100.23617400000001</v>
      </c>
      <c r="H8" s="118"/>
      <c r="M8" s="143"/>
      <c r="N8" s="118"/>
      <c r="P8" s="102"/>
      <c r="Q8" s="102"/>
      <c r="R8" s="102"/>
      <c r="S8" s="103"/>
      <c r="U8" s="102"/>
      <c r="V8" s="102"/>
      <c r="W8" s="102"/>
      <c r="X8" s="104"/>
    </row>
    <row r="9" spans="2:24" x14ac:dyDescent="0.25">
      <c r="C9" s="8" t="s">
        <v>39</v>
      </c>
      <c r="D9" s="8">
        <f t="shared" si="0"/>
        <v>0.89978599999999997</v>
      </c>
      <c r="E9" s="213">
        <v>0.89978599999999997</v>
      </c>
      <c r="F9" s="8">
        <v>0</v>
      </c>
      <c r="G9" s="139">
        <f>D9</f>
        <v>0.89978599999999997</v>
      </c>
      <c r="H9" s="118"/>
    </row>
    <row r="10" spans="2:24" x14ac:dyDescent="0.25">
      <c r="C10" s="8"/>
      <c r="D10" s="137"/>
      <c r="E10" s="137"/>
      <c r="F10" s="138"/>
      <c r="G10" s="137"/>
      <c r="J10" s="216"/>
      <c r="K10" s="118"/>
      <c r="S10" s="102"/>
      <c r="X10" s="102"/>
    </row>
    <row r="11" spans="2:24" x14ac:dyDescent="0.25">
      <c r="C11" s="8" t="s">
        <v>45</v>
      </c>
      <c r="D11" s="137">
        <f>SUM(D6:D9)</f>
        <v>518.63671799999997</v>
      </c>
      <c r="E11" s="137">
        <f>SUM(E6:E9)</f>
        <v>58.036203999999998</v>
      </c>
      <c r="F11" s="138">
        <f>D11-E11</f>
        <v>460.60051399999998</v>
      </c>
      <c r="G11" s="137">
        <f t="shared" ref="G11" si="1">D11</f>
        <v>518.63671799999997</v>
      </c>
      <c r="J11" s="143"/>
      <c r="K11" s="118"/>
    </row>
    <row r="12" spans="2:24" ht="26.1" customHeight="1" x14ac:dyDescent="0.25">
      <c r="J12" s="143"/>
      <c r="K12" s="118"/>
    </row>
    <row r="16" spans="2:24" x14ac:dyDescent="0.25">
      <c r="B16" t="s">
        <v>44</v>
      </c>
      <c r="I16" t="s">
        <v>49</v>
      </c>
    </row>
    <row r="17" spans="2:15" x14ac:dyDescent="0.25">
      <c r="B17" s="35"/>
      <c r="C17" s="235" t="s">
        <v>56</v>
      </c>
      <c r="D17" s="236"/>
      <c r="E17" s="236"/>
      <c r="F17" s="237"/>
      <c r="G17" s="14"/>
      <c r="I17" s="233"/>
      <c r="J17" s="225" t="s">
        <v>55</v>
      </c>
      <c r="K17" s="226"/>
      <c r="L17" s="227"/>
      <c r="M17" s="228" t="s">
        <v>43</v>
      </c>
    </row>
    <row r="18" spans="2:15" ht="27.75" customHeight="1" x14ac:dyDescent="0.25">
      <c r="B18" s="35"/>
      <c r="C18" s="9" t="s">
        <v>41</v>
      </c>
      <c r="D18" s="35" t="s">
        <v>70</v>
      </c>
      <c r="E18" s="35" t="s">
        <v>42</v>
      </c>
      <c r="F18" s="35" t="s">
        <v>68</v>
      </c>
      <c r="G18" s="13" t="s">
        <v>43</v>
      </c>
      <c r="I18" s="229"/>
      <c r="J18" s="37" t="s">
        <v>33</v>
      </c>
      <c r="K18" s="38" t="s">
        <v>30</v>
      </c>
      <c r="L18" s="38" t="s">
        <v>32</v>
      </c>
      <c r="M18" s="229"/>
    </row>
    <row r="19" spans="2:15" ht="25.5" customHeight="1" x14ac:dyDescent="0.25">
      <c r="B19" s="39">
        <v>2019</v>
      </c>
      <c r="C19" s="32">
        <f>E6*0.42</f>
        <v>1.5116404799999998</v>
      </c>
      <c r="D19" s="32">
        <f>E7*0.42</f>
        <v>6.8401741799999991</v>
      </c>
      <c r="E19" s="32">
        <f>E8*0.42</f>
        <v>15.645480899999999</v>
      </c>
      <c r="F19" s="116">
        <f>E9*0.42</f>
        <v>0.37791011999999996</v>
      </c>
      <c r="G19" s="34">
        <f>SUM(C19:F19)</f>
        <v>24.375205679999997</v>
      </c>
      <c r="I19" s="39">
        <v>2019</v>
      </c>
      <c r="J19" s="164">
        <f>J5*0.42</f>
        <v>2601.4715999999999</v>
      </c>
      <c r="K19" s="164">
        <f>J6*0.42</f>
        <v>2818.5570000000002</v>
      </c>
      <c r="L19" s="164">
        <f>J7*0.42</f>
        <v>14649.6924</v>
      </c>
      <c r="M19" s="41">
        <f>SUM(J19:L19)</f>
        <v>20069.720999999998</v>
      </c>
    </row>
    <row r="20" spans="2:15" ht="25.5" customHeight="1" x14ac:dyDescent="0.25">
      <c r="B20" s="39">
        <v>2020</v>
      </c>
      <c r="C20" s="32">
        <f>E6*0.42</f>
        <v>1.5116404799999998</v>
      </c>
      <c r="D20" s="32">
        <f>E7*0.42</f>
        <v>6.8401741799999991</v>
      </c>
      <c r="E20" s="32">
        <f>E8*0.42</f>
        <v>15.645480899999999</v>
      </c>
      <c r="F20" s="116">
        <f>E9*0.42</f>
        <v>0.37791011999999996</v>
      </c>
      <c r="G20" s="34">
        <f>SUM(C20:F20)</f>
        <v>24.375205679999997</v>
      </c>
      <c r="I20" s="39">
        <v>2020</v>
      </c>
      <c r="J20" s="164">
        <f>J5*0.42</f>
        <v>2601.4715999999999</v>
      </c>
      <c r="K20" s="164">
        <f>J6*0.42</f>
        <v>2818.5570000000002</v>
      </c>
      <c r="L20" s="164">
        <f>J7*0.42</f>
        <v>14649.6924</v>
      </c>
      <c r="M20" s="41">
        <f>SUM(J20:L20)</f>
        <v>20069.720999999998</v>
      </c>
    </row>
    <row r="21" spans="2:15" ht="25.5" customHeight="1" x14ac:dyDescent="0.25">
      <c r="B21" s="39">
        <v>2021</v>
      </c>
      <c r="C21" s="32">
        <f>E6*0.16</f>
        <v>0.57586303999999999</v>
      </c>
      <c r="D21" s="32">
        <f>E7*0.16</f>
        <v>2.6057806399999999</v>
      </c>
      <c r="E21" s="32">
        <f>E8*0.16</f>
        <v>5.9601832000000003</v>
      </c>
      <c r="F21" s="116">
        <f>E9*0.16</f>
        <v>0.14396576</v>
      </c>
      <c r="G21" s="34">
        <f>SUM(C21:F21)</f>
        <v>9.2857926400000004</v>
      </c>
      <c r="I21" s="39">
        <v>2021</v>
      </c>
      <c r="J21" s="164">
        <f>J5*0.16</f>
        <v>991.03679999999997</v>
      </c>
      <c r="K21" s="164">
        <f>J6*0.16</f>
        <v>1073.7360000000001</v>
      </c>
      <c r="L21" s="164">
        <f>J7*0.16</f>
        <v>5580.8352000000004</v>
      </c>
      <c r="M21" s="41">
        <f>SUM(J21:L21)</f>
        <v>7645.6080000000002</v>
      </c>
    </row>
    <row r="22" spans="2:15" ht="22.5" customHeight="1" x14ac:dyDescent="0.25">
      <c r="B22" s="40" t="s">
        <v>310</v>
      </c>
      <c r="C22" s="36">
        <f>SUM(C19:C21)</f>
        <v>3.5991439999999999</v>
      </c>
      <c r="D22" s="36">
        <f t="shared" ref="D22:E22" si="2">SUM(D19:D21)</f>
        <v>16.286128999999999</v>
      </c>
      <c r="E22" s="36">
        <f t="shared" si="2"/>
        <v>37.251145000000001</v>
      </c>
      <c r="F22" s="36">
        <f>SUM(F19:F21)</f>
        <v>0.89978599999999997</v>
      </c>
      <c r="G22" s="36">
        <f>SUM(C22:F22)</f>
        <v>58.036203999999998</v>
      </c>
      <c r="I22" s="40" t="s">
        <v>310</v>
      </c>
      <c r="J22" s="100">
        <f>SUM(J19:J21)</f>
        <v>6193.98</v>
      </c>
      <c r="K22" s="100">
        <f>SUM(K19:K21)</f>
        <v>6710.85</v>
      </c>
      <c r="L22" s="100">
        <f>SUM(L19:L21)</f>
        <v>34880.22</v>
      </c>
      <c r="M22" s="100">
        <f>SUM(M19:M21)</f>
        <v>47785.049999999996</v>
      </c>
    </row>
    <row r="23" spans="2:15" x14ac:dyDescent="0.25">
      <c r="C23" s="33"/>
      <c r="D23" s="33"/>
      <c r="E23" s="33"/>
      <c r="F23" s="33"/>
      <c r="G23" s="33"/>
    </row>
    <row r="24" spans="2:15" x14ac:dyDescent="0.25">
      <c r="C24" s="33"/>
      <c r="D24" s="33"/>
      <c r="E24" s="33"/>
      <c r="F24" s="33"/>
      <c r="G24" s="33"/>
    </row>
    <row r="26" spans="2:15" x14ac:dyDescent="0.25">
      <c r="B26" s="9"/>
      <c r="C26" s="9" t="s">
        <v>259</v>
      </c>
      <c r="D26" s="9"/>
      <c r="E26" s="9"/>
      <c r="F26" s="9"/>
      <c r="G26" s="9" t="s">
        <v>66</v>
      </c>
      <c r="I26" s="233"/>
      <c r="J26" s="230" t="s">
        <v>260</v>
      </c>
      <c r="K26" s="231"/>
      <c r="L26" s="232"/>
      <c r="M26" s="9" t="s">
        <v>66</v>
      </c>
    </row>
    <row r="27" spans="2:15" ht="25.5" x14ac:dyDescent="0.25">
      <c r="B27" s="9"/>
      <c r="C27" s="9" t="s">
        <v>41</v>
      </c>
      <c r="D27" s="9" t="s">
        <v>70</v>
      </c>
      <c r="E27" s="9" t="s">
        <v>42</v>
      </c>
      <c r="F27" s="9" t="s">
        <v>68</v>
      </c>
      <c r="G27" s="10" t="s">
        <v>54</v>
      </c>
      <c r="I27" s="229"/>
      <c r="J27" s="42" t="s">
        <v>33</v>
      </c>
      <c r="K27" s="43" t="s">
        <v>30</v>
      </c>
      <c r="L27" s="43" t="s">
        <v>32</v>
      </c>
      <c r="M27" s="44" t="s">
        <v>21</v>
      </c>
    </row>
    <row r="28" spans="2:15" ht="24" customHeight="1" x14ac:dyDescent="0.25">
      <c r="B28" s="39">
        <v>2019</v>
      </c>
      <c r="C28" s="32">
        <f>C19*Stocks!F$16</f>
        <v>383.74862560439175</v>
      </c>
      <c r="D28" s="32">
        <f>D19*Stocks!F$17</f>
        <v>2910.2366760411346</v>
      </c>
      <c r="E28" s="32">
        <f>E19*Stocks!F$19</f>
        <v>9863.3653563775406</v>
      </c>
      <c r="F28" s="32">
        <f>F19*Stocks!F$18</f>
        <v>125.31336972909791</v>
      </c>
      <c r="G28" s="32">
        <f>SUM(C28:F28)</f>
        <v>13282.664027752166</v>
      </c>
      <c r="I28" s="39">
        <v>2019</v>
      </c>
      <c r="J28" s="89">
        <f>J19*Stocks!F$22</f>
        <v>1163114.5307900852</v>
      </c>
      <c r="K28" s="89">
        <f>K19*Stocks!F20</f>
        <v>1587790.3837638798</v>
      </c>
      <c r="L28" s="89">
        <f>L19*Stocks!F$21</f>
        <v>6111355.5692011695</v>
      </c>
      <c r="M28" s="113">
        <f>SUM(J28:L28)</f>
        <v>8862260.483755134</v>
      </c>
    </row>
    <row r="29" spans="2:15" ht="24" customHeight="1" x14ac:dyDescent="0.25">
      <c r="B29" s="39">
        <v>2020</v>
      </c>
      <c r="C29" s="32">
        <f>C20*Stocks!F$16</f>
        <v>383.74862560439175</v>
      </c>
      <c r="D29" s="32">
        <f>D20*Stocks!F$17</f>
        <v>2910.2366760411346</v>
      </c>
      <c r="E29" s="32">
        <f>E20*Stocks!F$19</f>
        <v>9863.3653563775406</v>
      </c>
      <c r="F29" s="32">
        <f>F20*Stocks!F$18</f>
        <v>125.31336972909791</v>
      </c>
      <c r="G29" s="32">
        <f t="shared" ref="G29:G30" si="3">SUM(C29:F29)</f>
        <v>13282.664027752166</v>
      </c>
      <c r="I29" s="39">
        <v>2020</v>
      </c>
      <c r="J29" s="89">
        <f>J20*Stocks!F$22</f>
        <v>1163114.5307900852</v>
      </c>
      <c r="K29" s="89">
        <f>K20*Stocks!F$20</f>
        <v>1587790.3837638798</v>
      </c>
      <c r="L29" s="89">
        <f>L20*Stocks!F$21</f>
        <v>6111355.5692011695</v>
      </c>
      <c r="M29" s="113">
        <f t="shared" ref="M29:M30" si="4">SUM(J29:L29)</f>
        <v>8862260.483755134</v>
      </c>
    </row>
    <row r="30" spans="2:15" ht="24" customHeight="1" x14ac:dyDescent="0.25">
      <c r="B30" s="39">
        <v>2021</v>
      </c>
      <c r="C30" s="32">
        <f>C21*Stocks!F$16</f>
        <v>146.18995261119687</v>
      </c>
      <c r="D30" s="32">
        <f>D21*Stocks!F$17</f>
        <v>1108.6615908728133</v>
      </c>
      <c r="E30" s="32">
        <f>E21*Stocks!F$19</f>
        <v>3757.4725167152542</v>
      </c>
      <c r="F30" s="32">
        <f>F21*Stocks!F$18</f>
        <v>47.738426563465879</v>
      </c>
      <c r="G30" s="32">
        <f t="shared" si="3"/>
        <v>5060.0624867627293</v>
      </c>
      <c r="I30" s="39">
        <v>2021</v>
      </c>
      <c r="J30" s="89">
        <f>J21*Stocks!F$22</f>
        <v>443091.24982479436</v>
      </c>
      <c r="K30" s="89">
        <f>K21*Stocks!F$20</f>
        <v>604872.52714814467</v>
      </c>
      <c r="L30" s="89">
        <f>L21*Stocks!F$21</f>
        <v>2328135.4549337793</v>
      </c>
      <c r="M30" s="113">
        <f t="shared" si="4"/>
        <v>3376099.2319067186</v>
      </c>
    </row>
    <row r="31" spans="2:15" ht="28.5" customHeight="1" x14ac:dyDescent="0.25">
      <c r="B31" s="40" t="s">
        <v>310</v>
      </c>
      <c r="C31" s="95">
        <f>C22*Stocks!F16</f>
        <v>913.68720381998037</v>
      </c>
      <c r="D31" s="95">
        <f>D22*Stocks!F$17</f>
        <v>6929.1349429550828</v>
      </c>
      <c r="E31" s="95">
        <f>E22*Stocks!F$19</f>
        <v>23484.203229470339</v>
      </c>
      <c r="F31" s="95">
        <f>F22*Stocks!F$18</f>
        <v>298.36516602166171</v>
      </c>
      <c r="G31" s="95">
        <f>SUM(C31:F31)</f>
        <v>31625.390542267061</v>
      </c>
      <c r="I31" s="40" t="s">
        <v>310</v>
      </c>
      <c r="J31" s="113">
        <f>SUM(J28:J30)</f>
        <v>2769320.3114049649</v>
      </c>
      <c r="K31" s="113">
        <f t="shared" ref="K31:M31" si="5">SUM(K28:K30)</f>
        <v>3780453.2946759043</v>
      </c>
      <c r="L31" s="113">
        <f t="shared" si="5"/>
        <v>14550846.593336118</v>
      </c>
      <c r="M31" s="113">
        <f t="shared" si="5"/>
        <v>21100620.199416988</v>
      </c>
      <c r="O31" s="113"/>
    </row>
    <row r="38" spans="2:9" x14ac:dyDescent="0.25">
      <c r="B38" s="9"/>
      <c r="C38" s="9"/>
      <c r="D38" s="9"/>
      <c r="E38" s="9"/>
      <c r="F38" s="9"/>
      <c r="G38" s="9"/>
    </row>
    <row r="39" spans="2:9" ht="15.75" x14ac:dyDescent="0.25">
      <c r="B39" s="9"/>
      <c r="C39" s="9"/>
      <c r="D39" s="9"/>
      <c r="E39" s="9"/>
      <c r="F39" s="9"/>
      <c r="G39" s="10"/>
    </row>
    <row r="40" spans="2:9" x14ac:dyDescent="0.25">
      <c r="B40" s="39"/>
      <c r="C40" s="32"/>
      <c r="D40" s="32"/>
      <c r="E40" s="32"/>
      <c r="F40" s="32"/>
      <c r="G40" s="32"/>
    </row>
    <row r="41" spans="2:9" x14ac:dyDescent="0.25">
      <c r="B41" s="39"/>
      <c r="C41" s="32"/>
      <c r="D41" s="32"/>
      <c r="E41" s="32"/>
      <c r="F41" s="32"/>
      <c r="G41" s="32"/>
    </row>
    <row r="42" spans="2:9" x14ac:dyDescent="0.25">
      <c r="B42" s="39"/>
      <c r="C42" s="32"/>
      <c r="D42" s="32"/>
      <c r="E42" s="32"/>
      <c r="F42" s="32"/>
      <c r="G42" s="32"/>
    </row>
    <row r="43" spans="2:9" x14ac:dyDescent="0.25">
      <c r="B43" s="40"/>
      <c r="C43" s="95"/>
      <c r="D43" s="95"/>
      <c r="E43" s="95"/>
      <c r="F43" s="95"/>
      <c r="G43" s="95"/>
    </row>
    <row r="46" spans="2:9" x14ac:dyDescent="0.25">
      <c r="D46" s="234"/>
      <c r="E46" s="234"/>
      <c r="F46" s="234"/>
    </row>
    <row r="47" spans="2:9" x14ac:dyDescent="0.25">
      <c r="F47" s="108"/>
      <c r="G47" s="109"/>
      <c r="H47" s="109"/>
      <c r="I47" s="110"/>
    </row>
    <row r="48" spans="2:9" x14ac:dyDescent="0.25">
      <c r="E48" s="107"/>
      <c r="F48" s="105"/>
      <c r="G48" s="105"/>
      <c r="H48" s="105"/>
      <c r="I48" s="105"/>
    </row>
    <row r="49" spans="3:13" x14ac:dyDescent="0.25">
      <c r="C49">
        <f>C48/2</f>
        <v>0</v>
      </c>
      <c r="D49">
        <f>D48/2</f>
        <v>0</v>
      </c>
      <c r="E49">
        <f>E48/2</f>
        <v>0</v>
      </c>
      <c r="F49">
        <f>F48/2</f>
        <v>0</v>
      </c>
      <c r="G49" s="106"/>
      <c r="H49" s="106"/>
      <c r="I49" s="105"/>
    </row>
    <row r="50" spans="3:13" x14ac:dyDescent="0.25">
      <c r="E50" s="107"/>
      <c r="F50" s="105"/>
      <c r="G50" s="106"/>
      <c r="H50" s="106"/>
      <c r="I50" s="105"/>
    </row>
    <row r="51" spans="3:13" x14ac:dyDescent="0.25">
      <c r="E51" s="107"/>
      <c r="F51" s="105"/>
      <c r="G51" s="106"/>
      <c r="H51" s="106"/>
      <c r="I51" s="105"/>
    </row>
    <row r="52" spans="3:13" x14ac:dyDescent="0.25">
      <c r="I52" s="105"/>
      <c r="J52" s="105"/>
      <c r="K52" s="105"/>
      <c r="L52" s="105"/>
      <c r="M52" s="105"/>
    </row>
  </sheetData>
  <mergeCells count="7">
    <mergeCell ref="M17:M18"/>
    <mergeCell ref="J26:L26"/>
    <mergeCell ref="I26:I27"/>
    <mergeCell ref="D46:F46"/>
    <mergeCell ref="C17:F17"/>
    <mergeCell ref="J17:L17"/>
    <mergeCell ref="I17:I18"/>
  </mergeCells>
  <pageMargins left="0.7" right="0.7" top="0.75" bottom="0.75" header="0.3" footer="0.3"/>
  <pageSetup orientation="portrait" r:id="rId1"/>
  <ignoredErrors>
    <ignoredError sqref="F1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1:M38"/>
  <sheetViews>
    <sheetView workbookViewId="0">
      <selection activeCell="F26" sqref="F26"/>
    </sheetView>
  </sheetViews>
  <sheetFormatPr baseColWidth="10" defaultColWidth="9.140625" defaultRowHeight="15" x14ac:dyDescent="0.25"/>
  <cols>
    <col min="3" max="3" width="21.140625" bestFit="1" customWidth="1"/>
    <col min="5" max="5" width="18.140625" bestFit="1" customWidth="1"/>
    <col min="6" max="6" width="19" customWidth="1"/>
    <col min="7" max="7" width="18" customWidth="1"/>
    <col min="8" max="8" width="16.85546875" customWidth="1"/>
    <col min="9" max="9" width="20.140625" bestFit="1" customWidth="1"/>
    <col min="10" max="10" width="19.42578125" bestFit="1" customWidth="1"/>
    <col min="11" max="11" width="15.85546875" bestFit="1" customWidth="1"/>
    <col min="12" max="12" width="12.140625" bestFit="1" customWidth="1"/>
    <col min="13" max="13" width="13" customWidth="1"/>
    <col min="16" max="16" width="7.85546875" customWidth="1"/>
    <col min="17" max="17" width="5.140625" customWidth="1"/>
    <col min="18" max="18" width="25.42578125" customWidth="1"/>
    <col min="19" max="19" width="28.5703125" customWidth="1"/>
  </cols>
  <sheetData>
    <row r="1" spans="5:13" x14ac:dyDescent="0.25">
      <c r="G1" t="s">
        <v>217</v>
      </c>
    </row>
    <row r="4" spans="5:13" x14ac:dyDescent="0.25">
      <c r="G4" t="s">
        <v>218</v>
      </c>
    </row>
    <row r="5" spans="5:13" ht="18" x14ac:dyDescent="0.35">
      <c r="F5" s="83" t="s">
        <v>219</v>
      </c>
      <c r="G5" s="83" t="s">
        <v>220</v>
      </c>
      <c r="H5" s="83" t="s">
        <v>47</v>
      </c>
      <c r="J5" s="83" t="s">
        <v>221</v>
      </c>
      <c r="M5" s="84" t="s">
        <v>222</v>
      </c>
    </row>
    <row r="6" spans="5:13" ht="18.75" x14ac:dyDescent="0.35">
      <c r="E6" s="83" t="s">
        <v>223</v>
      </c>
      <c r="F6" s="85" t="s">
        <v>224</v>
      </c>
      <c r="G6" t="s">
        <v>225</v>
      </c>
      <c r="H6" s="83" t="s">
        <v>226</v>
      </c>
      <c r="I6" s="85" t="s">
        <v>227</v>
      </c>
      <c r="J6" s="86" t="s">
        <v>228</v>
      </c>
      <c r="K6" s="86" t="s">
        <v>229</v>
      </c>
      <c r="L6" s="86" t="s">
        <v>230</v>
      </c>
      <c r="M6" s="86" t="s">
        <v>231</v>
      </c>
    </row>
    <row r="7" spans="5:13" x14ac:dyDescent="0.25">
      <c r="E7">
        <v>2009</v>
      </c>
      <c r="F7" s="87">
        <f>'[1]inventory stats'!$N$52</f>
        <v>7.5296152990560292E-2</v>
      </c>
      <c r="G7" s="65">
        <f>'[1]pop proj'!E20</f>
        <v>9732.6097696898942</v>
      </c>
      <c r="H7" s="65">
        <f>2.2304*G7 + 1796.4</f>
        <v>23504.01283031634</v>
      </c>
      <c r="I7" s="81">
        <f>((H7+2*('[1]defor rate'!$K$4*(SQRT((1/13)+(((G7-'[1]defor rate'!$I$22)^2)/'[1]defor rate'!$M$22)))))-H7)/H7</f>
        <v>0.20756383627282673</v>
      </c>
      <c r="J7" s="88">
        <f>I7</f>
        <v>0.20756383627282673</v>
      </c>
      <c r="K7" s="80">
        <f t="shared" ref="K7:K10" si="0">SQRT(J7^2+F7^2)</f>
        <v>0.22079913220724098</v>
      </c>
      <c r="L7" s="88">
        <f>K7</f>
        <v>0.22079913220724098</v>
      </c>
      <c r="M7" s="80">
        <f>IF((1-L7+0.15)&gt;1,1,1-L7+0.15)</f>
        <v>0.92920086779275901</v>
      </c>
    </row>
    <row r="8" spans="5:13" x14ac:dyDescent="0.25">
      <c r="E8">
        <v>2010</v>
      </c>
      <c r="F8" s="87">
        <f>'[1]inventory stats'!$N$52</f>
        <v>7.5296152990560292E-2</v>
      </c>
      <c r="G8" s="65">
        <f>'[1]pop proj'!F20</f>
        <v>11125.000109912537</v>
      </c>
      <c r="H8" s="65">
        <f t="shared" ref="H8:H16" si="1">2.2304*G8 + 1796.4</f>
        <v>26609.600245148922</v>
      </c>
      <c r="I8" s="81">
        <f>((H8+2*('[1]defor rate'!$K$4*(SQRT((1/13)+(((G8-'[1]defor rate'!$I$22)^2)/'[1]defor rate'!$M$22)))))-H8)/H8</f>
        <v>0.21739485552875615</v>
      </c>
      <c r="J8" s="80">
        <f>SQRT((I7*H7)^2+(I8*H8)^2)/SUM(H$7:H8)</f>
        <v>0.15100333177343131</v>
      </c>
      <c r="K8" s="80">
        <f t="shared" si="0"/>
        <v>0.1687350492987596</v>
      </c>
      <c r="L8" s="88">
        <f t="shared" ref="L8:L10" si="2">K8</f>
        <v>0.1687350492987596</v>
      </c>
      <c r="M8" s="80">
        <f t="shared" ref="M8:M10" si="3">IF((1-L8+0.15)&gt;1,1,1-L8+0.15)</f>
        <v>0.98126495070124042</v>
      </c>
    </row>
    <row r="9" spans="5:13" x14ac:dyDescent="0.25">
      <c r="E9">
        <v>2011</v>
      </c>
      <c r="F9" s="87">
        <f>'[1]inventory stats'!$N$52</f>
        <v>7.5296152990560292E-2</v>
      </c>
      <c r="G9" s="65">
        <f>'[1]pop proj'!G20</f>
        <v>12754.229247108917</v>
      </c>
      <c r="H9" s="65">
        <f t="shared" si="1"/>
        <v>30243.43291275173</v>
      </c>
      <c r="I9" s="81">
        <f>((H9+2*('[1]defor rate'!$K$4*(SQRT((1/13)+(((G9-'[1]defor rate'!$I$22)^2)/'[1]defor rate'!$M$22)))))-H9)/H9</f>
        <v>0.22680053371079056</v>
      </c>
      <c r="J9" s="80">
        <f>SQRT((I8*H8)^2+(I9*H9)^2+(I7*H7)^2)/SUM(H$7:H9)</f>
        <v>0.12710013376481927</v>
      </c>
      <c r="K9" s="80">
        <f t="shared" si="0"/>
        <v>0.14772932903866048</v>
      </c>
      <c r="L9" s="88">
        <f t="shared" si="2"/>
        <v>0.14772932903866048</v>
      </c>
      <c r="M9" s="80">
        <f t="shared" si="3"/>
        <v>1</v>
      </c>
    </row>
    <row r="10" spans="5:13" x14ac:dyDescent="0.25">
      <c r="E10">
        <v>2012</v>
      </c>
      <c r="F10" s="87">
        <f>'[1]inventory stats'!$N$52</f>
        <v>7.5296152990560292E-2</v>
      </c>
      <c r="G10" s="65">
        <f>'[1]pop proj'!H20</f>
        <v>14665.498637723678</v>
      </c>
      <c r="H10" s="65">
        <f t="shared" si="1"/>
        <v>34506.328161578887</v>
      </c>
      <c r="I10" s="81">
        <f>((H10+2*('[1]defor rate'!$K$4*(SQRT((1/13)+(((G10-'[1]defor rate'!$I$22)^2)/'[1]defor rate'!$M$22)))))-H10)/H10</f>
        <v>0.23564588591192201</v>
      </c>
      <c r="J10" s="80">
        <f>SQRT((I$9*H$9)^2+(I$10*H$10)^2+(I$8*H$8)^2+(I$7*H$7)^2)/SUM(H$7:H10)</f>
        <v>0.1136560882659422</v>
      </c>
      <c r="K10" s="80">
        <f t="shared" si="0"/>
        <v>0.13633494436531488</v>
      </c>
      <c r="L10" s="88">
        <f t="shared" si="2"/>
        <v>0.13633494436531488</v>
      </c>
      <c r="M10" s="80">
        <f t="shared" si="3"/>
        <v>1</v>
      </c>
    </row>
    <row r="11" spans="5:13" x14ac:dyDescent="0.25">
      <c r="E11">
        <v>2013</v>
      </c>
      <c r="F11" s="87">
        <f>'[1]inventory stats'!$N$52</f>
        <v>7.5296152990560292E-2</v>
      </c>
      <c r="G11" s="65">
        <f>'[1]pop proj'!I20</f>
        <v>16913.208533004392</v>
      </c>
      <c r="H11" s="65">
        <f t="shared" si="1"/>
        <v>39519.620312012994</v>
      </c>
      <c r="I11" s="81">
        <f>((H11+2*('[1]defor rate'!$K$4*(SQRT((1/13)+(((G11-'[1]defor rate'!$I$22)^2)/'[1]defor rate'!$M$22)))))-H11)/H11</f>
        <v>0.2438501791670469</v>
      </c>
      <c r="J11" s="80">
        <f>SQRT((I$11*H$11)^2+(I$9*H$9)^2+(I$10*H$10)^2+(I$8*H$8)^2+(I$7*H$7)^2)/SUM(H$7:H11)</f>
        <v>0.1051056631325988</v>
      </c>
      <c r="K11" s="80">
        <f>SQRT(J11^2+F11^2)</f>
        <v>0.12929312076719782</v>
      </c>
      <c r="L11" s="88">
        <f>K11</f>
        <v>0.12929312076719782</v>
      </c>
      <c r="M11" s="80">
        <f>IF((1-L11+0.15)&gt;1,1,1-L11+0.15)</f>
        <v>1</v>
      </c>
    </row>
    <row r="12" spans="5:13" x14ac:dyDescent="0.25">
      <c r="E12">
        <v>2014</v>
      </c>
      <c r="F12" s="87">
        <f>'[1]inventory stats'!$N$52</f>
        <v>7.5296152990560292E-2</v>
      </c>
      <c r="G12" s="65">
        <f>'[1]pop proj'!J20</f>
        <v>19562.903248418297</v>
      </c>
      <c r="H12" s="65">
        <f t="shared" si="1"/>
        <v>45429.499405272167</v>
      </c>
      <c r="I12" s="81">
        <f>((H12+2*('[1]defor rate'!$K$4*(SQRT((1/13)+(((G12-'[1]defor rate'!$I$22)^2)/'[1]defor rate'!$M$22)))))-H12)/H12</f>
        <v>0.25137292319637816</v>
      </c>
      <c r="J12" s="80">
        <f>SQRT((I$12*H$12)^2+(I$11*H$11)^2+(I$9*H$9)^2+(I$10*H$10)^2+(I$8*H$8)^2+(I$7*H$7)^2)/SUM(H$7:H12)</f>
        <v>9.9303833045066944E-2</v>
      </c>
      <c r="K12" s="80">
        <f>SQRT(J12^2+F12^2)</f>
        <v>0.12462247755770381</v>
      </c>
      <c r="L12" s="88">
        <f>K12</f>
        <v>0.12462247755770381</v>
      </c>
      <c r="M12" s="80">
        <f>IF((1-L12+0.15)&gt;1,1,1-L12+0.15)</f>
        <v>1</v>
      </c>
    </row>
    <row r="13" spans="5:13" x14ac:dyDescent="0.25">
      <c r="E13">
        <v>2015</v>
      </c>
      <c r="F13" s="87">
        <f>'[1]inventory stats'!$N$52</f>
        <v>7.5296152990560292E-2</v>
      </c>
      <c r="G13" s="65">
        <f>'[1]pop proj'!K20</f>
        <v>22693.63815972727</v>
      </c>
      <c r="H13" s="65">
        <f t="shared" si="1"/>
        <v>52412.290551455706</v>
      </c>
      <c r="I13" s="81">
        <f>((H13+2*('[1]defor rate'!$K$4*(SQRT((1/13)+(((G13-'[1]defor rate'!$I$22)^2)/'[1]defor rate'!$M$22)))))-H13)/H13</f>
        <v>0.25820321821322373</v>
      </c>
      <c r="J13" s="80">
        <f>SQRT((I$13*H$13)^2+(I$12*H$12)^2+(I$11*H$11)^2+(I$9*H$9)^2+(I$10*H$10)^2+(I$8*H$8)^2+(I$7*H$7)^2)/SUM(H$7:H13)</f>
        <v>9.5223687136738011E-2</v>
      </c>
      <c r="K13" s="80">
        <f>SQRT(J13^2+F13^2)</f>
        <v>0.12139629832533291</v>
      </c>
      <c r="L13" s="88">
        <f>K13</f>
        <v>0.12139629832533291</v>
      </c>
      <c r="M13" s="80">
        <f>IF((1-L13+0.15)&gt;1,1,1-L13+0.15)</f>
        <v>1</v>
      </c>
    </row>
    <row r="14" spans="5:13" x14ac:dyDescent="0.25">
      <c r="E14">
        <v>2016</v>
      </c>
      <c r="F14" s="87">
        <f>'[1]inventory stats'!$N$52</f>
        <v>7.5296152990560292E-2</v>
      </c>
      <c r="G14" s="65">
        <f>'[1]pop proj'!L20</f>
        <v>26400.861437716609</v>
      </c>
      <c r="H14" s="65">
        <f t="shared" si="1"/>
        <v>60680.881350683121</v>
      </c>
      <c r="I14" s="81">
        <f>((H14+2*('[1]defor rate'!$K$4*(SQRT((1/13)+(((G14-'[1]defor rate'!$I$22)^2)/'[1]defor rate'!$M$22)))))-H14)/H14</f>
        <v>0.26435163100199693</v>
      </c>
      <c r="J14" s="80">
        <f>SQRT((I$14*H$14)^2+(I$13*H$13)^2+(I$12*H$12)^2+(I$11*H$11)^2+(I$9*H$9)^2+(I$10*H$10)^2+(I$8*H$8)^2+(I$7*H$7)^2)/SUM(H$7:H14)</f>
        <v>9.2302585237529031E-2</v>
      </c>
      <c r="K14" s="80">
        <f>SQRT(J14^2+F14^2)</f>
        <v>0.11911875543636767</v>
      </c>
      <c r="L14" s="88">
        <f>K14</f>
        <v>0.11911875543636767</v>
      </c>
      <c r="M14" s="80">
        <f>IF((1-L14+0.15)&gt;1,1,1-L14+0.15)</f>
        <v>1</v>
      </c>
    </row>
    <row r="15" spans="5:13" x14ac:dyDescent="0.25">
      <c r="E15">
        <v>2017</v>
      </c>
      <c r="F15" s="199">
        <f>'[1]inventory stats'!$N$52</f>
        <v>7.5296152990560292E-2</v>
      </c>
      <c r="G15" s="65">
        <f>'[1]pop proj'!M20</f>
        <v>30799.9243026443</v>
      </c>
      <c r="H15" s="65">
        <f t="shared" si="1"/>
        <v>70492.551164617835</v>
      </c>
      <c r="I15" s="81">
        <f>((H15+2*('[1]defor rate'!$K$4*(SQRT((1/13)+(((G15-'[1]defor rate'!$I$22)^2)/'[1]defor rate'!$M$22)))))-H15)/H15</f>
        <v>0.26984395131812378</v>
      </c>
      <c r="J15" s="81">
        <f>SQRT((I$15*H$15)^2+(I$14*H$14)^2+(I$13*H$13)^2+(I$12*H$12)^2+(I$11*H$11)^2+(I$9*H$9)^2+(I$10*H$10)^2+(I$8*H$8)^2+(I$7*H$7)^2)/SUM(H$7:H15)</f>
        <v>9.0202090996576501E-2</v>
      </c>
      <c r="K15" s="81">
        <f t="shared" ref="K15" si="4">SQRT(J15^2+F15^2)</f>
        <v>0.11749862924873859</v>
      </c>
      <c r="L15" s="88">
        <f t="shared" ref="L15" si="5">K15</f>
        <v>0.11749862924873859</v>
      </c>
      <c r="M15" s="81">
        <f t="shared" ref="M15" si="6">IF((1-L15+0.15)&gt;1,1,1-L15+0.15)</f>
        <v>1</v>
      </c>
    </row>
    <row r="16" spans="5:13" x14ac:dyDescent="0.25">
      <c r="E16">
        <v>2018</v>
      </c>
      <c r="F16" s="199">
        <f>'[1]inventory stats'!$N$52</f>
        <v>7.5296152990560292E-2</v>
      </c>
      <c r="G16" s="65">
        <f>'[1]pop proj'!N20</f>
        <v>36030.359028772567</v>
      </c>
      <c r="H16" s="65">
        <f t="shared" si="1"/>
        <v>82158.512777774333</v>
      </c>
      <c r="I16" s="81">
        <f>((H16+2*('[1]defor rate'!$K$4*(SQRT((1/13)+(((G16-'[1]defor rate'!$I$22)^2)/'[1]defor rate'!$M$22)))))-H16)/H16</f>
        <v>0.27471635834167002</v>
      </c>
      <c r="J16" s="81">
        <f>SQRT((I$16*H$16)^2+(I$15*H$15)^2+(I$14*H$14)^2+(I$13*H$13)^2+(I$12*H$12)^2+(I$11*H$11)^2+(I$9*H$9)^2+(I$10*H$10)^2+(I$8*H$8)^2+(I$7*H$7)^2)/SUM(H$7:H16)</f>
        <v>8.8704074860832191E-2</v>
      </c>
      <c r="K16" s="81">
        <f>SQRT(J16^2+F16^2)</f>
        <v>0.11635258291973574</v>
      </c>
      <c r="L16" s="88">
        <f>K16</f>
        <v>0.11635258291973574</v>
      </c>
      <c r="M16" s="81">
        <f>IF((1-L16+0.15)&gt;1,1,1-L16+0.15)</f>
        <v>1</v>
      </c>
    </row>
    <row r="17" spans="3:13" x14ac:dyDescent="0.25">
      <c r="C17" s="209" t="s">
        <v>313</v>
      </c>
      <c r="D17" s="209"/>
      <c r="E17" s="209">
        <v>2019</v>
      </c>
      <c r="F17" s="208">
        <v>7.5296152990560292E-2</v>
      </c>
      <c r="G17" s="210">
        <v>36030.359028772567</v>
      </c>
      <c r="H17" s="210">
        <v>82158.512777774333</v>
      </c>
      <c r="I17" s="211">
        <v>0.27471635834167002</v>
      </c>
      <c r="J17" s="211">
        <v>8.8704074860832191E-2</v>
      </c>
      <c r="K17" s="211">
        <v>0.11635258291973574</v>
      </c>
      <c r="L17" s="212">
        <v>0.11635258291973574</v>
      </c>
      <c r="M17" s="211">
        <v>1</v>
      </c>
    </row>
    <row r="18" spans="3:13" x14ac:dyDescent="0.25">
      <c r="C18" s="209"/>
      <c r="D18" s="209"/>
      <c r="E18" s="209">
        <v>2020</v>
      </c>
      <c r="F18" s="208">
        <v>7.5296152990560292E-2</v>
      </c>
      <c r="G18" s="210">
        <v>36030.359028772567</v>
      </c>
      <c r="H18" s="210">
        <v>82158.512777774333</v>
      </c>
      <c r="I18" s="211">
        <v>0.27471635834167002</v>
      </c>
      <c r="J18" s="211">
        <v>8.8704074860832191E-2</v>
      </c>
      <c r="K18" s="211">
        <v>0.11635258291973574</v>
      </c>
      <c r="L18" s="212">
        <v>0.11635258291973574</v>
      </c>
      <c r="M18" s="211">
        <v>1</v>
      </c>
    </row>
    <row r="19" spans="3:13" x14ac:dyDescent="0.25">
      <c r="C19" s="209"/>
      <c r="D19" s="209"/>
      <c r="E19" s="209">
        <v>2021</v>
      </c>
      <c r="F19" s="208"/>
      <c r="G19" s="210"/>
      <c r="H19" s="210"/>
      <c r="I19" s="211"/>
      <c r="J19" s="211"/>
      <c r="K19" s="211"/>
      <c r="L19" s="212"/>
      <c r="M19" s="211"/>
    </row>
    <row r="20" spans="3:13" x14ac:dyDescent="0.25">
      <c r="C20" s="209"/>
      <c r="D20" s="209"/>
      <c r="E20" s="209"/>
      <c r="F20" s="208"/>
      <c r="G20" s="210"/>
      <c r="H20" s="210"/>
      <c r="I20" s="211"/>
      <c r="J20" s="211"/>
      <c r="K20" s="211"/>
      <c r="L20" s="212"/>
      <c r="M20" s="211"/>
    </row>
    <row r="21" spans="3:13" x14ac:dyDescent="0.25">
      <c r="C21" s="209"/>
      <c r="D21" s="209"/>
      <c r="E21" s="209"/>
      <c r="F21" s="208"/>
      <c r="G21" s="210"/>
      <c r="H21" s="210"/>
      <c r="I21" s="211"/>
      <c r="J21" s="211"/>
      <c r="K21" s="211"/>
      <c r="L21" s="212"/>
      <c r="M21" s="211"/>
    </row>
    <row r="22" spans="3:13" ht="12.95" customHeight="1" x14ac:dyDescent="0.25">
      <c r="G22" s="65"/>
      <c r="H22" s="65"/>
      <c r="I22" s="81"/>
      <c r="J22" s="80"/>
      <c r="K22" s="80"/>
      <c r="L22" s="88"/>
      <c r="M22" s="80"/>
    </row>
    <row r="23" spans="3:13" ht="12.95" customHeight="1" x14ac:dyDescent="0.25"/>
    <row r="24" spans="3:13" x14ac:dyDescent="0.25">
      <c r="F24" s="87" t="s">
        <v>237</v>
      </c>
    </row>
    <row r="25" spans="3:13" x14ac:dyDescent="0.25">
      <c r="F25" s="97" t="s">
        <v>243</v>
      </c>
    </row>
    <row r="26" spans="3:13" ht="105" x14ac:dyDescent="0.25">
      <c r="F26" s="1" t="s">
        <v>238</v>
      </c>
      <c r="G26" s="1" t="s">
        <v>242</v>
      </c>
      <c r="H26" s="1" t="s">
        <v>241</v>
      </c>
    </row>
    <row r="27" spans="3:13" x14ac:dyDescent="0.25">
      <c r="E27" s="83" t="s">
        <v>223</v>
      </c>
      <c r="F27" s="53" t="s">
        <v>237</v>
      </c>
      <c r="G27" s="53" t="s">
        <v>239</v>
      </c>
      <c r="H27" s="53" t="s">
        <v>240</v>
      </c>
      <c r="I27" s="53"/>
    </row>
    <row r="28" spans="3:13" x14ac:dyDescent="0.25">
      <c r="E28">
        <v>2013</v>
      </c>
    </row>
    <row r="29" spans="3:13" x14ac:dyDescent="0.25">
      <c r="E29">
        <v>2014</v>
      </c>
    </row>
    <row r="38" spans="6:9" ht="18.75" x14ac:dyDescent="0.35">
      <c r="F38" s="92" t="s">
        <v>244</v>
      </c>
      <c r="G38" s="92" t="s">
        <v>245</v>
      </c>
      <c r="H38" s="92" t="s">
        <v>246</v>
      </c>
      <c r="I38" s="92" t="s">
        <v>247</v>
      </c>
    </row>
  </sheetData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ADA04-A20E-4188-9985-B6459058776D}">
  <dimension ref="B1:R91"/>
  <sheetViews>
    <sheetView topLeftCell="A58" workbookViewId="0">
      <selection activeCell="S23" sqref="S23"/>
    </sheetView>
  </sheetViews>
  <sheetFormatPr baseColWidth="10" defaultColWidth="9.140625" defaultRowHeight="15" x14ac:dyDescent="0.25"/>
  <cols>
    <col min="2" max="2" width="12.5703125" customWidth="1"/>
    <col min="3" max="3" width="13" customWidth="1"/>
    <col min="4" max="4" width="14.42578125" customWidth="1"/>
    <col min="5" max="5" width="15.28515625" customWidth="1"/>
    <col min="6" max="7" width="13.5703125" bestFit="1" customWidth="1"/>
    <col min="8" max="8" width="13.5703125" customWidth="1"/>
    <col min="9" max="9" width="14.5703125" customWidth="1"/>
    <col min="10" max="10" width="14.7109375" customWidth="1"/>
    <col min="11" max="11" width="17.7109375" customWidth="1"/>
    <col min="12" max="12" width="15" customWidth="1"/>
    <col min="13" max="13" width="17.28515625" customWidth="1"/>
    <col min="14" max="14" width="15.5703125" customWidth="1"/>
    <col min="15" max="15" width="15.28515625" customWidth="1"/>
    <col min="16" max="16" width="18.5703125" bestFit="1" customWidth="1"/>
    <col min="17" max="17" width="15.85546875" bestFit="1" customWidth="1"/>
    <col min="18" max="18" width="14.85546875" bestFit="1" customWidth="1"/>
  </cols>
  <sheetData>
    <row r="1" spans="2:13" x14ac:dyDescent="0.25">
      <c r="C1" t="s">
        <v>47</v>
      </c>
      <c r="D1" t="s">
        <v>47</v>
      </c>
      <c r="E1" t="s">
        <v>47</v>
      </c>
    </row>
    <row r="2" spans="2:13" ht="15.75" x14ac:dyDescent="0.25">
      <c r="B2" s="175" t="s">
        <v>50</v>
      </c>
      <c r="C2" s="175" t="s">
        <v>296</v>
      </c>
      <c r="D2" s="175" t="s">
        <v>20</v>
      </c>
      <c r="E2" s="175" t="s">
        <v>297</v>
      </c>
      <c r="F2" s="176"/>
      <c r="G2" s="176"/>
    </row>
    <row r="3" spans="2:13" x14ac:dyDescent="0.25">
      <c r="B3" s="8">
        <v>2009</v>
      </c>
      <c r="C3" s="177">
        <v>24214.5</v>
      </c>
      <c r="D3" s="177">
        <v>4256.82</v>
      </c>
      <c r="E3" s="177">
        <v>19957.68</v>
      </c>
    </row>
    <row r="4" spans="2:13" x14ac:dyDescent="0.25">
      <c r="B4" s="8">
        <v>2010</v>
      </c>
      <c r="C4" s="177">
        <v>27320.04</v>
      </c>
      <c r="D4" s="177">
        <v>5420.34</v>
      </c>
      <c r="E4" s="177">
        <v>21899.7</v>
      </c>
      <c r="F4" s="80"/>
      <c r="G4" s="80"/>
    </row>
    <row r="5" spans="2:13" x14ac:dyDescent="0.25">
      <c r="B5" s="8">
        <v>2011</v>
      </c>
      <c r="C5" s="177">
        <v>30954.06</v>
      </c>
      <c r="D5" s="177">
        <v>3216.33</v>
      </c>
      <c r="E5" s="177">
        <v>27737.73</v>
      </c>
      <c r="F5" s="80"/>
      <c r="G5" s="80"/>
    </row>
    <row r="6" spans="2:13" x14ac:dyDescent="0.25">
      <c r="B6" s="8">
        <v>2012</v>
      </c>
      <c r="C6" s="177">
        <v>35216.910000000003</v>
      </c>
      <c r="D6" s="177">
        <v>3818.16</v>
      </c>
      <c r="E6" s="177">
        <v>31398.75</v>
      </c>
      <c r="F6" s="80"/>
      <c r="G6" s="80"/>
    </row>
    <row r="7" spans="2:13" x14ac:dyDescent="0.25">
      <c r="B7" s="8">
        <v>2013</v>
      </c>
      <c r="C7" s="177">
        <v>40230.18</v>
      </c>
      <c r="D7" s="177">
        <v>4754.79</v>
      </c>
      <c r="E7" s="177">
        <v>35475.39</v>
      </c>
      <c r="F7" s="80"/>
      <c r="G7" s="80"/>
    </row>
    <row r="8" spans="2:13" x14ac:dyDescent="0.25">
      <c r="B8" s="8">
        <v>2014</v>
      </c>
      <c r="C8" s="177">
        <v>46140.21</v>
      </c>
      <c r="D8" s="177">
        <v>6254.28</v>
      </c>
      <c r="E8" s="177">
        <v>39885.93</v>
      </c>
      <c r="F8" s="80"/>
      <c r="G8" s="80"/>
    </row>
    <row r="9" spans="2:13" x14ac:dyDescent="0.25">
      <c r="B9" s="8">
        <v>2015</v>
      </c>
      <c r="C9" s="177">
        <v>53123.040000000001</v>
      </c>
      <c r="D9" s="177">
        <v>7939.89</v>
      </c>
      <c r="E9" s="177">
        <v>45183.15</v>
      </c>
      <c r="F9" s="80"/>
      <c r="G9" s="80"/>
    </row>
    <row r="10" spans="2:13" x14ac:dyDescent="0.25">
      <c r="B10" s="8">
        <v>2016</v>
      </c>
      <c r="C10" s="177">
        <v>57723.839999999997</v>
      </c>
      <c r="D10" s="177">
        <v>9533.52</v>
      </c>
      <c r="E10" s="177">
        <v>48190.32</v>
      </c>
      <c r="F10" s="80"/>
      <c r="G10" s="80"/>
    </row>
    <row r="11" spans="2:13" x14ac:dyDescent="0.25">
      <c r="B11" s="8">
        <v>2017</v>
      </c>
      <c r="C11" s="177">
        <v>59950.8</v>
      </c>
      <c r="D11" s="177">
        <v>10748.34</v>
      </c>
      <c r="E11" s="177">
        <v>49202.46</v>
      </c>
      <c r="F11" s="80"/>
      <c r="G11" s="80"/>
    </row>
    <row r="12" spans="2:13" x14ac:dyDescent="0.25">
      <c r="B12" s="8">
        <v>2018</v>
      </c>
      <c r="C12" s="177">
        <v>62040.6</v>
      </c>
      <c r="D12" s="177">
        <v>12409.38</v>
      </c>
      <c r="E12" s="177">
        <v>49631.22</v>
      </c>
      <c r="F12" s="80"/>
      <c r="G12" s="80"/>
    </row>
    <row r="13" spans="2:13" ht="15.75" x14ac:dyDescent="0.25">
      <c r="B13" s="178" t="s">
        <v>290</v>
      </c>
      <c r="C13" s="179">
        <f>SUM(C3:C12)</f>
        <v>436914.18</v>
      </c>
      <c r="D13" s="179">
        <f>SUM(D3:D12)</f>
        <v>68351.850000000006</v>
      </c>
      <c r="E13" s="179">
        <f>SUM(E3:E12)</f>
        <v>368562.32999999996</v>
      </c>
    </row>
    <row r="15" spans="2:13" x14ac:dyDescent="0.25">
      <c r="B15" t="s">
        <v>298</v>
      </c>
      <c r="I15" t="s">
        <v>299</v>
      </c>
    </row>
    <row r="16" spans="2:13" ht="15.75" x14ac:dyDescent="0.3">
      <c r="B16" s="180"/>
      <c r="C16" s="181" t="s">
        <v>82</v>
      </c>
      <c r="D16" s="182"/>
      <c r="E16" s="182"/>
      <c r="F16" s="183"/>
      <c r="G16" s="9"/>
      <c r="H16" s="182"/>
      <c r="I16" s="184" t="s">
        <v>83</v>
      </c>
      <c r="J16" s="182"/>
      <c r="K16" s="182"/>
      <c r="L16" s="182"/>
      <c r="M16" s="183"/>
    </row>
    <row r="17" spans="2:18" ht="15.75" x14ac:dyDescent="0.25">
      <c r="B17" s="9" t="s">
        <v>40</v>
      </c>
      <c r="C17" s="185" t="s">
        <v>41</v>
      </c>
      <c r="D17" s="185" t="s">
        <v>80</v>
      </c>
      <c r="E17" s="185" t="s">
        <v>42</v>
      </c>
      <c r="F17" s="185" t="s">
        <v>39</v>
      </c>
      <c r="G17" s="10" t="s">
        <v>43</v>
      </c>
      <c r="H17" s="186" t="s">
        <v>40</v>
      </c>
      <c r="I17" s="186" t="s">
        <v>41</v>
      </c>
      <c r="J17" s="186" t="s">
        <v>80</v>
      </c>
      <c r="K17" s="186" t="s">
        <v>42</v>
      </c>
      <c r="L17" s="186" t="s">
        <v>39</v>
      </c>
      <c r="M17" s="187" t="s">
        <v>300</v>
      </c>
      <c r="P17" t="s">
        <v>312</v>
      </c>
    </row>
    <row r="18" spans="2:18" ht="15.75" x14ac:dyDescent="0.25">
      <c r="B18" s="8">
        <v>2009</v>
      </c>
      <c r="C18" s="188">
        <v>46.89</v>
      </c>
      <c r="D18" s="188">
        <v>1550.7</v>
      </c>
      <c r="E18" s="188">
        <v>2646.99</v>
      </c>
      <c r="F18" s="188">
        <v>12.24</v>
      </c>
      <c r="G18" s="189">
        <f t="shared" ref="G18:G27" si="0">SUM(C18:F18)</f>
        <v>4256.82</v>
      </c>
      <c r="H18" s="8">
        <v>2009</v>
      </c>
      <c r="I18" s="177">
        <f>C18*'[2]carbon stock estimates'!C$4</f>
        <v>10023.519</v>
      </c>
      <c r="J18" s="177">
        <f>D18*'[2]carbon stock estimates'!C$5</f>
        <v>543572.03999999992</v>
      </c>
      <c r="K18" s="177">
        <f>E18*'[2]carbon stock estimates'!C$7</f>
        <v>1347141.4439999999</v>
      </c>
      <c r="L18" s="177">
        <f>F18*'[2]carbon stock estimates'!C$6</f>
        <v>3460.248</v>
      </c>
      <c r="M18" s="190">
        <f>SUM(I18:L18)</f>
        <v>1904197.2509999997</v>
      </c>
    </row>
    <row r="19" spans="2:18" ht="15.75" x14ac:dyDescent="0.25">
      <c r="B19" s="8">
        <v>2010</v>
      </c>
      <c r="C19" s="188">
        <v>715.86</v>
      </c>
      <c r="D19" s="188">
        <v>3423.51</v>
      </c>
      <c r="E19" s="188">
        <v>1271.97</v>
      </c>
      <c r="F19" s="188">
        <v>9</v>
      </c>
      <c r="G19" s="189">
        <f t="shared" si="0"/>
        <v>5420.34</v>
      </c>
      <c r="H19" s="8">
        <v>2010</v>
      </c>
      <c r="I19" s="177">
        <f>C19*'[2]carbon stock estimates'!C$4</f>
        <v>153027.00599999999</v>
      </c>
      <c r="J19" s="177">
        <f>D19*'[2]carbon stock estimates'!C$5</f>
        <v>1200054.372</v>
      </c>
      <c r="K19" s="177">
        <f>E19*'[2]carbon stock estimates'!C$7</f>
        <v>647347.93200000003</v>
      </c>
      <c r="L19" s="177">
        <f>F19*'[2]carbon stock estimates'!C$6</f>
        <v>2544.2999999999997</v>
      </c>
      <c r="M19" s="190">
        <f t="shared" ref="M19:M27" si="1">SUM(I19:L19)</f>
        <v>2002973.61</v>
      </c>
      <c r="Q19" t="s">
        <v>301</v>
      </c>
      <c r="R19" t="s">
        <v>302</v>
      </c>
    </row>
    <row r="20" spans="2:18" ht="15.75" x14ac:dyDescent="0.25">
      <c r="B20" s="8">
        <v>2011</v>
      </c>
      <c r="C20" s="188">
        <v>93.69</v>
      </c>
      <c r="D20" s="188">
        <v>2108.34</v>
      </c>
      <c r="E20" s="188">
        <v>993.24</v>
      </c>
      <c r="F20" s="188">
        <v>21.06</v>
      </c>
      <c r="G20" s="189">
        <f t="shared" si="0"/>
        <v>3216.3300000000004</v>
      </c>
      <c r="H20" s="8">
        <v>2011</v>
      </c>
      <c r="I20" s="177">
        <f>C20*'[2]carbon stock estimates'!C$4</f>
        <v>20027.798999999999</v>
      </c>
      <c r="J20" s="177">
        <f>D20*'[2]carbon stock estimates'!C$5</f>
        <v>739043.44799999997</v>
      </c>
      <c r="K20" s="177">
        <f>E20*'[2]carbon stock estimates'!C$7</f>
        <v>505492.94400000002</v>
      </c>
      <c r="L20" s="177">
        <f>F20*'[2]carbon stock estimates'!C$6</f>
        <v>5953.6619999999994</v>
      </c>
      <c r="M20" s="190">
        <f t="shared" si="1"/>
        <v>1270517.8530000001</v>
      </c>
    </row>
    <row r="21" spans="2:18" ht="15.75" x14ac:dyDescent="0.25">
      <c r="B21" s="8">
        <v>2012</v>
      </c>
      <c r="C21" s="188">
        <v>150.75</v>
      </c>
      <c r="D21" s="188">
        <v>2369.9699999999998</v>
      </c>
      <c r="E21" s="188">
        <v>1267.56</v>
      </c>
      <c r="F21" s="188">
        <v>29.88</v>
      </c>
      <c r="G21" s="189">
        <f t="shared" si="0"/>
        <v>3818.16</v>
      </c>
      <c r="H21" s="8">
        <v>2012</v>
      </c>
      <c r="I21" s="177">
        <f>C21*'[2]carbon stock estimates'!C$4</f>
        <v>32225.324999999997</v>
      </c>
      <c r="J21" s="177">
        <f>D21*'[2]carbon stock estimates'!C$5</f>
        <v>830753.48399999982</v>
      </c>
      <c r="K21" s="177">
        <f>E21*'[2]carbon stock estimates'!C$7</f>
        <v>645103.53599999996</v>
      </c>
      <c r="L21" s="177">
        <f>F21*'[2]carbon stock estimates'!C$6</f>
        <v>8447.0759999999991</v>
      </c>
      <c r="M21" s="190">
        <f t="shared" si="1"/>
        <v>1516529.4209999996</v>
      </c>
      <c r="P21" s="170">
        <v>2019</v>
      </c>
      <c r="Q21" s="172">
        <v>12409.38</v>
      </c>
      <c r="R21" s="174">
        <v>4873035.584999999</v>
      </c>
    </row>
    <row r="22" spans="2:18" ht="15.75" x14ac:dyDescent="0.25">
      <c r="B22" s="8">
        <v>2013</v>
      </c>
      <c r="C22" s="188">
        <v>211.86</v>
      </c>
      <c r="D22" s="188">
        <v>2756.7</v>
      </c>
      <c r="E22" s="188">
        <v>1746.63</v>
      </c>
      <c r="F22" s="188">
        <v>39.6</v>
      </c>
      <c r="G22" s="189">
        <f t="shared" si="0"/>
        <v>4754.7900000000009</v>
      </c>
      <c r="H22" s="8">
        <v>2013</v>
      </c>
      <c r="I22" s="177">
        <f>C22*'[2]carbon stock estimates'!C$4</f>
        <v>45288.606</v>
      </c>
      <c r="J22" s="177">
        <f>D22*'[2]carbon stock estimates'!C$5</f>
        <v>966315.23999999987</v>
      </c>
      <c r="K22" s="177">
        <f>E22*'[2]carbon stock estimates'!C$7</f>
        <v>888918.22800000012</v>
      </c>
      <c r="L22" s="177">
        <f>F22*'[2]carbon stock estimates'!C$6</f>
        <v>11194.92</v>
      </c>
      <c r="M22" s="190">
        <f t="shared" si="1"/>
        <v>1911716.9939999999</v>
      </c>
      <c r="P22" s="170">
        <v>2020</v>
      </c>
      <c r="Q22" s="172">
        <v>12409.38</v>
      </c>
      <c r="R22" s="174">
        <v>4873035.584999999</v>
      </c>
    </row>
    <row r="23" spans="2:18" ht="15.75" x14ac:dyDescent="0.25">
      <c r="B23" s="8">
        <v>2014</v>
      </c>
      <c r="C23" s="188">
        <v>354.87</v>
      </c>
      <c r="D23" s="188">
        <v>3267.18</v>
      </c>
      <c r="E23" s="188">
        <v>2566.44</v>
      </c>
      <c r="F23" s="188">
        <v>65.790000000000006</v>
      </c>
      <c r="G23" s="189">
        <f t="shared" si="0"/>
        <v>6254.28</v>
      </c>
      <c r="H23" s="8">
        <v>2014</v>
      </c>
      <c r="I23" s="177">
        <f>C23*'[2]carbon stock estimates'!C$4</f>
        <v>75859.376999999993</v>
      </c>
      <c r="J23" s="177">
        <f>D23*'[2]carbon stock estimates'!C$5</f>
        <v>1145255.4959999998</v>
      </c>
      <c r="K23" s="177">
        <f>E23*'[2]carbon stock estimates'!C$7</f>
        <v>1306146.8640000001</v>
      </c>
      <c r="L23" s="177">
        <f>F23*'[2]carbon stock estimates'!C$6</f>
        <v>18598.833000000002</v>
      </c>
      <c r="M23" s="190">
        <f t="shared" si="1"/>
        <v>2545860.5699999998</v>
      </c>
      <c r="P23" s="170">
        <v>2021</v>
      </c>
      <c r="Q23" s="172">
        <v>4963.7520000000004</v>
      </c>
      <c r="R23" s="174">
        <v>1949214.2339999997</v>
      </c>
    </row>
    <row r="24" spans="2:18" ht="15.75" x14ac:dyDescent="0.25">
      <c r="B24" s="8">
        <v>2015</v>
      </c>
      <c r="C24" s="188">
        <v>488.7</v>
      </c>
      <c r="D24" s="188">
        <v>4368.33</v>
      </c>
      <c r="E24" s="188">
        <v>2987.64</v>
      </c>
      <c r="F24" s="188">
        <v>95.22</v>
      </c>
      <c r="G24" s="189">
        <f t="shared" si="0"/>
        <v>7939.89</v>
      </c>
      <c r="H24" s="8">
        <v>2015</v>
      </c>
      <c r="I24" s="177">
        <f>C24*'[2]carbon stock estimates'!C$4</f>
        <v>104467.76999999999</v>
      </c>
      <c r="J24" s="177">
        <f>D24*'[2]carbon stock estimates'!C$5</f>
        <v>1531245.2759999998</v>
      </c>
      <c r="K24" s="177">
        <f>E24*'[2]carbon stock estimates'!C$7</f>
        <v>1520509.584</v>
      </c>
      <c r="L24" s="177">
        <f>F24*'[2]carbon stock estimates'!C$6</f>
        <v>26918.694</v>
      </c>
      <c r="M24" s="190">
        <f t="shared" si="1"/>
        <v>3183141.324</v>
      </c>
      <c r="Q24" s="191">
        <f>SUM(Q21:Q23)</f>
        <v>29782.511999999999</v>
      </c>
      <c r="R24" s="191">
        <f>SUM(R21:R23)</f>
        <v>11695285.403999997</v>
      </c>
    </row>
    <row r="25" spans="2:18" ht="15.75" x14ac:dyDescent="0.25">
      <c r="B25" s="8">
        <v>2016</v>
      </c>
      <c r="C25" s="188">
        <v>579.33000000000004</v>
      </c>
      <c r="D25" s="188">
        <v>5518.26</v>
      </c>
      <c r="E25" s="188">
        <v>3361.14</v>
      </c>
      <c r="F25" s="188">
        <v>74.790000000000006</v>
      </c>
      <c r="G25" s="189">
        <f t="shared" si="0"/>
        <v>9533.52</v>
      </c>
      <c r="H25" s="8">
        <v>2016</v>
      </c>
      <c r="I25" s="177">
        <f>C25*'[2]carbon stock estimates'!C$4</f>
        <v>123841.443</v>
      </c>
      <c r="J25" s="177">
        <f>D25*'[2]carbon stock estimates'!C$5</f>
        <v>1934334.0719999999</v>
      </c>
      <c r="K25" s="177">
        <f>E25*'[2]carbon stock estimates'!C$7</f>
        <v>1710596.1839999999</v>
      </c>
      <c r="L25" s="177">
        <f>F25*'[2]carbon stock estimates'!C$6</f>
        <v>21143.133000000002</v>
      </c>
      <c r="M25" s="190">
        <f t="shared" si="1"/>
        <v>3789914.8319999999</v>
      </c>
    </row>
    <row r="26" spans="2:18" ht="15.75" x14ac:dyDescent="0.25">
      <c r="B26" s="8">
        <v>2017</v>
      </c>
      <c r="C26" s="188">
        <v>795.87</v>
      </c>
      <c r="D26" s="188">
        <v>6085.8</v>
      </c>
      <c r="E26" s="188">
        <v>3807.99</v>
      </c>
      <c r="F26" s="188">
        <v>58.68</v>
      </c>
      <c r="G26" s="189">
        <f t="shared" si="0"/>
        <v>10748.34</v>
      </c>
      <c r="H26" s="8">
        <v>2017</v>
      </c>
      <c r="I26" s="177">
        <f>C26*'[2]carbon stock estimates'!C$4</f>
        <v>170130.47699999998</v>
      </c>
      <c r="J26" s="177">
        <f>D26*'[2]carbon stock estimates'!C$5</f>
        <v>2133275.7599999998</v>
      </c>
      <c r="K26" s="177">
        <f>E26*'[2]carbon stock estimates'!C$7</f>
        <v>1938013.044</v>
      </c>
      <c r="L26" s="177">
        <f>F26*'[2]carbon stock estimates'!C$6</f>
        <v>16588.835999999999</v>
      </c>
      <c r="M26" s="190">
        <f t="shared" si="1"/>
        <v>4258008.1169999996</v>
      </c>
    </row>
    <row r="27" spans="2:18" ht="15.75" x14ac:dyDescent="0.25">
      <c r="B27" s="8">
        <v>2018</v>
      </c>
      <c r="C27" s="188">
        <v>1227.06</v>
      </c>
      <c r="D27" s="188">
        <v>6724.98</v>
      </c>
      <c r="E27" s="188">
        <v>4390.6499999999996</v>
      </c>
      <c r="F27" s="188">
        <v>66.69</v>
      </c>
      <c r="G27" s="189">
        <f t="shared" si="0"/>
        <v>12409.38</v>
      </c>
      <c r="H27" s="8">
        <v>2018</v>
      </c>
      <c r="I27" s="177">
        <f>C27*'[2]carbon stock estimates'!C$4</f>
        <v>262304.52599999995</v>
      </c>
      <c r="J27" s="177">
        <f>D27*'[2]carbon stock estimates'!C$5</f>
        <v>2357329.6559999995</v>
      </c>
      <c r="K27" s="177">
        <f>E27*'[2]carbon stock estimates'!C$7</f>
        <v>2234548.1399999997</v>
      </c>
      <c r="L27" s="177">
        <f>F27*'[2]carbon stock estimates'!C$6</f>
        <v>18853.262999999999</v>
      </c>
      <c r="M27" s="190">
        <f t="shared" si="1"/>
        <v>4873035.584999999</v>
      </c>
      <c r="N27" s="199" t="s">
        <v>307</v>
      </c>
    </row>
    <row r="28" spans="2:18" ht="15.75" x14ac:dyDescent="0.25">
      <c r="B28" s="170">
        <v>2019</v>
      </c>
      <c r="C28" s="171"/>
      <c r="D28" s="171"/>
      <c r="E28" s="171"/>
      <c r="F28" s="171"/>
      <c r="G28" s="172">
        <f>G27</f>
        <v>12409.38</v>
      </c>
      <c r="H28" s="170"/>
      <c r="I28" s="173"/>
      <c r="J28" s="173"/>
      <c r="K28" s="173"/>
      <c r="L28" s="173"/>
      <c r="M28" s="174">
        <f>M27</f>
        <v>4873035.584999999</v>
      </c>
      <c r="N28" s="201">
        <f>365/365</f>
        <v>1</v>
      </c>
    </row>
    <row r="29" spans="2:18" ht="15.75" x14ac:dyDescent="0.25">
      <c r="B29" s="170">
        <v>2020</v>
      </c>
      <c r="C29" s="171"/>
      <c r="D29" s="171"/>
      <c r="E29" s="171"/>
      <c r="F29" s="171"/>
      <c r="G29" s="172">
        <f>G28</f>
        <v>12409.38</v>
      </c>
      <c r="H29" s="170"/>
      <c r="I29" s="173"/>
      <c r="J29" s="173"/>
      <c r="K29" s="173"/>
      <c r="L29" s="173"/>
      <c r="M29" s="174">
        <f>M28</f>
        <v>4873035.584999999</v>
      </c>
      <c r="N29" s="201">
        <f>365/365</f>
        <v>1</v>
      </c>
    </row>
    <row r="30" spans="2:18" ht="15.75" x14ac:dyDescent="0.25">
      <c r="B30" s="170">
        <v>2021</v>
      </c>
      <c r="C30" s="171"/>
      <c r="D30" s="171"/>
      <c r="E30" s="171"/>
      <c r="F30" s="171"/>
      <c r="G30" s="172">
        <f>G28*0.4</f>
        <v>4963.7520000000004</v>
      </c>
      <c r="H30" s="170"/>
      <c r="I30" s="173"/>
      <c r="J30" s="173"/>
      <c r="K30" s="173"/>
      <c r="L30" s="173"/>
      <c r="M30" s="174">
        <f>M28*0.4</f>
        <v>1949214.2339999997</v>
      </c>
      <c r="N30" s="201">
        <f>SUM(24,30,31,30,31)/365</f>
        <v>0.4</v>
      </c>
    </row>
    <row r="31" spans="2:18" ht="15.75" x14ac:dyDescent="0.25">
      <c r="B31" s="8" t="s">
        <v>81</v>
      </c>
      <c r="C31" s="189">
        <f>SUM(C18:C27)</f>
        <v>4664.8799999999992</v>
      </c>
      <c r="D31" s="189">
        <f>SUM(D18:D27)</f>
        <v>38173.770000000004</v>
      </c>
      <c r="E31" s="189">
        <f>SUM(E18:E27)</f>
        <v>25040.25</v>
      </c>
      <c r="F31" s="189">
        <f>SUM(F18:F27)</f>
        <v>472.95</v>
      </c>
      <c r="G31" s="191">
        <f>SUM(G18:G30)</f>
        <v>98134.362000000023</v>
      </c>
      <c r="H31" s="192" t="s">
        <v>303</v>
      </c>
      <c r="I31" s="177">
        <f>SUM(I18:I27)</f>
        <v>997195.84799999988</v>
      </c>
      <c r="J31" s="177">
        <f>SUM(J18:J27)</f>
        <v>13381178.843999999</v>
      </c>
      <c r="K31" s="177">
        <f>SUM(K18:K27)</f>
        <v>12743817.899999999</v>
      </c>
      <c r="L31" s="177">
        <f>SUM(L18:L27)</f>
        <v>133702.965</v>
      </c>
      <c r="M31" s="177">
        <f>SUM(M18:M30)</f>
        <v>38951180.960999995</v>
      </c>
      <c r="N31" s="201"/>
    </row>
    <row r="33" spans="2:17" x14ac:dyDescent="0.25">
      <c r="B33" t="s">
        <v>304</v>
      </c>
    </row>
    <row r="34" spans="2:17" x14ac:dyDescent="0.25">
      <c r="C34" t="s">
        <v>47</v>
      </c>
      <c r="D34" t="s">
        <v>47</v>
      </c>
      <c r="E34" t="s">
        <v>47</v>
      </c>
      <c r="H34" t="s">
        <v>299</v>
      </c>
    </row>
    <row r="35" spans="2:17" ht="15.75" x14ac:dyDescent="0.25">
      <c r="B35" s="15" t="s">
        <v>40</v>
      </c>
      <c r="C35" s="15" t="s">
        <v>75</v>
      </c>
      <c r="D35" s="15" t="s">
        <v>76</v>
      </c>
      <c r="E35" s="15" t="s">
        <v>77</v>
      </c>
      <c r="F35" s="193" t="s">
        <v>43</v>
      </c>
      <c r="G35" s="15" t="s">
        <v>40</v>
      </c>
      <c r="H35" s="15" t="s">
        <v>75</v>
      </c>
      <c r="I35" s="15" t="s">
        <v>76</v>
      </c>
      <c r="J35" s="15" t="s">
        <v>77</v>
      </c>
      <c r="K35" s="193" t="s">
        <v>300</v>
      </c>
    </row>
    <row r="36" spans="2:17" ht="15.75" x14ac:dyDescent="0.25">
      <c r="B36" s="8">
        <v>2009</v>
      </c>
      <c r="C36" s="177">
        <v>1416.96</v>
      </c>
      <c r="D36" s="177">
        <v>3786.03</v>
      </c>
      <c r="E36" s="177">
        <v>14754.69</v>
      </c>
      <c r="F36" s="194">
        <f>SUM(C36:E36)</f>
        <v>19957.68</v>
      </c>
      <c r="G36" s="8">
        <v>2009</v>
      </c>
      <c r="H36" s="177">
        <f>C36*'[2]carbon stock estimates'!C$10</f>
        <v>518892.12469438906</v>
      </c>
      <c r="I36" s="177">
        <f>D36*'[2]carbon stock estimates'!C$8</f>
        <v>1721714.9680736943</v>
      </c>
      <c r="J36" s="177">
        <f>E36*'[2]carbon stock estimates'!C$9</f>
        <v>5067365.6964302389</v>
      </c>
      <c r="K36" s="190">
        <f>SUM(H36:J36)</f>
        <v>7307972.7891983222</v>
      </c>
    </row>
    <row r="37" spans="2:17" ht="15.75" x14ac:dyDescent="0.25">
      <c r="B37" s="8">
        <v>2010</v>
      </c>
      <c r="C37" s="177">
        <v>3110.76</v>
      </c>
      <c r="D37" s="177">
        <v>1139.8499999999999</v>
      </c>
      <c r="E37" s="177">
        <v>17649.09</v>
      </c>
      <c r="F37" s="194">
        <f t="shared" ref="F37:F49" si="2">SUM(C37:E37)</f>
        <v>21899.7</v>
      </c>
      <c r="G37" s="8">
        <v>2010</v>
      </c>
      <c r="H37" s="177">
        <f>C37*'[2]carbon stock estimates'!C$10</f>
        <v>1139163.3255803394</v>
      </c>
      <c r="I37" s="177">
        <f>D37*'[2]carbon stock estimates'!C$8</f>
        <v>518352.15419814427</v>
      </c>
      <c r="J37" s="177">
        <f>E37*'[2]carbon stock estimates'!C$9</f>
        <v>6061421.3676607208</v>
      </c>
      <c r="K37" s="190">
        <f t="shared" ref="K37:K45" si="3">SUM(H37:J37)</f>
        <v>7718936.8474392043</v>
      </c>
    </row>
    <row r="38" spans="2:17" ht="15.75" x14ac:dyDescent="0.25">
      <c r="B38" s="8">
        <v>2011</v>
      </c>
      <c r="C38" s="177">
        <v>3387.42</v>
      </c>
      <c r="D38" s="177">
        <v>1435.68</v>
      </c>
      <c r="E38" s="177">
        <v>22914.63</v>
      </c>
      <c r="F38" s="194">
        <f t="shared" si="2"/>
        <v>27737.730000000003</v>
      </c>
      <c r="G38" s="8">
        <v>2011</v>
      </c>
      <c r="H38" s="177">
        <f>C38*'[2]carbon stock estimates'!C$10</f>
        <v>1240476.4855975239</v>
      </c>
      <c r="I38" s="177">
        <f>D38*'[2]carbon stock estimates'!C$8</f>
        <v>652882.23953958147</v>
      </c>
      <c r="J38" s="177">
        <f>E38*'[2]carbon stock estimates'!C$9</f>
        <v>7869823.7650802042</v>
      </c>
      <c r="K38" s="190">
        <f t="shared" si="3"/>
        <v>9763182.4902173094</v>
      </c>
    </row>
    <row r="39" spans="2:17" ht="15.75" x14ac:dyDescent="0.25">
      <c r="B39" s="8">
        <v>2012</v>
      </c>
      <c r="C39" s="177">
        <v>3443.94</v>
      </c>
      <c r="D39" s="177">
        <v>1638.9</v>
      </c>
      <c r="E39" s="177">
        <v>26315.91</v>
      </c>
      <c r="F39" s="194">
        <f t="shared" si="2"/>
        <v>31398.75</v>
      </c>
      <c r="G39" s="8">
        <v>2012</v>
      </c>
      <c r="H39" s="177">
        <f>C39*'[2]carbon stock estimates'!C$10</f>
        <v>1261174.1643518477</v>
      </c>
      <c r="I39" s="177">
        <f>D39*'[2]carbon stock estimates'!C$8</f>
        <v>745297.49135003623</v>
      </c>
      <c r="J39" s="177">
        <f>E39*'[2]carbon stock estimates'!C$9</f>
        <v>9037962.8175410982</v>
      </c>
      <c r="K39" s="190">
        <f t="shared" si="3"/>
        <v>11044434.473242983</v>
      </c>
    </row>
    <row r="40" spans="2:17" ht="15.75" x14ac:dyDescent="0.25">
      <c r="B40" s="8">
        <v>2013</v>
      </c>
      <c r="C40" s="177">
        <v>3558.51</v>
      </c>
      <c r="D40" s="177">
        <v>1943.64</v>
      </c>
      <c r="E40" s="177">
        <v>29973.24</v>
      </c>
      <c r="F40" s="194">
        <f t="shared" si="2"/>
        <v>35475.39</v>
      </c>
      <c r="G40" s="8">
        <v>2013</v>
      </c>
      <c r="H40" s="177">
        <f>C40*'[2]carbon stock estimates'!C$10</f>
        <v>1303129.8093426987</v>
      </c>
      <c r="I40" s="177">
        <f>D40*'[2]carbon stock estimates'!C$8</f>
        <v>883879.44114197593</v>
      </c>
      <c r="J40" s="177">
        <f>E40*'[2]carbon stock estimates'!C$9</f>
        <v>10294039.94166402</v>
      </c>
      <c r="K40" s="190">
        <f t="shared" si="3"/>
        <v>12481049.192148695</v>
      </c>
    </row>
    <row r="41" spans="2:17" ht="15.75" x14ac:dyDescent="0.25">
      <c r="B41" s="8">
        <v>2014</v>
      </c>
      <c r="C41" s="177">
        <v>3718.98</v>
      </c>
      <c r="D41" s="177">
        <v>2411.2800000000002</v>
      </c>
      <c r="E41" s="177">
        <v>33755.67</v>
      </c>
      <c r="F41" s="194">
        <f t="shared" si="2"/>
        <v>39885.93</v>
      </c>
      <c r="G41" s="8">
        <v>2014</v>
      </c>
      <c r="H41" s="177">
        <f>C41*'[2]carbon stock estimates'!C$10</f>
        <v>1361894.0787996408</v>
      </c>
      <c r="I41" s="177">
        <f>D41*'[2]carbon stock estimates'!C$8</f>
        <v>1096540.9329077525</v>
      </c>
      <c r="J41" s="177">
        <f>E41*'[2]carbon stock estimates'!C$9</f>
        <v>11593081.536651688</v>
      </c>
      <c r="K41" s="190">
        <f t="shared" si="3"/>
        <v>14051516.548359081</v>
      </c>
    </row>
    <row r="42" spans="2:17" ht="15.75" x14ac:dyDescent="0.25">
      <c r="B42" s="8">
        <v>2015</v>
      </c>
      <c r="C42" s="177">
        <v>4170.51</v>
      </c>
      <c r="D42" s="177">
        <v>2957.67</v>
      </c>
      <c r="E42" s="177">
        <v>38054.97</v>
      </c>
      <c r="F42" s="194">
        <f t="shared" si="2"/>
        <v>45183.15</v>
      </c>
      <c r="G42" s="8">
        <v>2015</v>
      </c>
      <c r="H42" s="177">
        <f>C42*'[2]carbon stock estimates'!C$10</f>
        <v>1527244.8022239136</v>
      </c>
      <c r="I42" s="177">
        <f>D42*'[2]carbon stock estimates'!C$8</f>
        <v>1345014.3579481735</v>
      </c>
      <c r="J42" s="177">
        <f>E42*'[2]carbon stock estimates'!C$9</f>
        <v>13069637.488600697</v>
      </c>
      <c r="K42" s="190">
        <f t="shared" si="3"/>
        <v>15941896.648772784</v>
      </c>
    </row>
    <row r="43" spans="2:17" ht="15.75" x14ac:dyDescent="0.25">
      <c r="B43" s="8">
        <v>2016</v>
      </c>
      <c r="C43" s="177">
        <v>3938.85</v>
      </c>
      <c r="D43" s="177">
        <v>3567.69</v>
      </c>
      <c r="E43" s="177">
        <v>40683.78</v>
      </c>
      <c r="F43" s="194">
        <f t="shared" si="2"/>
        <v>48190.32</v>
      </c>
      <c r="G43" s="8">
        <v>2016</v>
      </c>
      <c r="H43" s="177">
        <f>C43*'[2]carbon stock estimates'!C$10</f>
        <v>1442410.6858009358</v>
      </c>
      <c r="I43" s="177">
        <f>D43*'[2]carbon stock estimates'!C$8</f>
        <v>1622423.8250745076</v>
      </c>
      <c r="J43" s="177">
        <f>E43*'[2]carbon stock estimates'!C$9</f>
        <v>13972478.660894576</v>
      </c>
      <c r="K43" s="190">
        <f t="shared" si="3"/>
        <v>17037313.171770021</v>
      </c>
      <c r="O43" t="s">
        <v>248</v>
      </c>
    </row>
    <row r="44" spans="2:17" ht="15.75" x14ac:dyDescent="0.25">
      <c r="B44" s="8">
        <v>2017</v>
      </c>
      <c r="C44" s="177">
        <v>3628.53</v>
      </c>
      <c r="D44" s="177">
        <v>3910.05</v>
      </c>
      <c r="E44" s="177">
        <v>41663.879999999997</v>
      </c>
      <c r="F44" s="194">
        <f t="shared" si="2"/>
        <v>49202.46</v>
      </c>
      <c r="G44" s="8">
        <v>2017</v>
      </c>
      <c r="H44" s="177">
        <f>C44*'[2]carbon stock estimates'!C$10</f>
        <v>1328771.2011752848</v>
      </c>
      <c r="I44" s="177">
        <f>D44*'[2]carbon stock estimates'!C$8</f>
        <v>1778113.6469907921</v>
      </c>
      <c r="J44" s="177">
        <f>E44*'[2]carbon stock estimates'!C$9</f>
        <v>14309085.198820569</v>
      </c>
      <c r="K44" s="190">
        <f t="shared" si="3"/>
        <v>17415970.046986647</v>
      </c>
      <c r="P44" t="s">
        <v>301</v>
      </c>
      <c r="Q44" t="s">
        <v>302</v>
      </c>
    </row>
    <row r="45" spans="2:17" ht="15.75" x14ac:dyDescent="0.25">
      <c r="B45" s="8">
        <v>2018</v>
      </c>
      <c r="C45" s="177">
        <v>2692.98</v>
      </c>
      <c r="D45" s="177">
        <v>4639.7700000000004</v>
      </c>
      <c r="E45" s="177">
        <v>42298.47</v>
      </c>
      <c r="F45" s="194">
        <f t="shared" si="2"/>
        <v>49631.22</v>
      </c>
      <c r="G45" s="8">
        <v>2018</v>
      </c>
      <c r="H45" s="177">
        <f>C45*'[2]carbon stock estimates'!C$10</f>
        <v>986171.88485172181</v>
      </c>
      <c r="I45" s="177">
        <f>D45*'[2]carbon stock estimates'!C$8</f>
        <v>2109957.2526945863</v>
      </c>
      <c r="J45" s="177">
        <f>E45*'[2]carbon stock estimates'!C$9</f>
        <v>14527029.431962553</v>
      </c>
      <c r="K45" s="190">
        <f t="shared" si="3"/>
        <v>17623158.569508862</v>
      </c>
    </row>
    <row r="46" spans="2:17" ht="15.75" x14ac:dyDescent="0.25">
      <c r="B46" s="170">
        <v>2019</v>
      </c>
      <c r="C46" s="173"/>
      <c r="D46" s="173"/>
      <c r="E46" s="173"/>
      <c r="F46" s="195">
        <f>F45</f>
        <v>49631.22</v>
      </c>
      <c r="G46" s="170">
        <v>2019</v>
      </c>
      <c r="H46" s="173"/>
      <c r="I46" s="173"/>
      <c r="J46" s="173"/>
      <c r="K46" s="174">
        <f>K45</f>
        <v>17623158.569508862</v>
      </c>
      <c r="O46" s="170">
        <v>2019</v>
      </c>
      <c r="P46" s="172">
        <v>49631.22</v>
      </c>
      <c r="Q46" s="174">
        <v>17623158.569508862</v>
      </c>
    </row>
    <row r="47" spans="2:17" ht="15.75" x14ac:dyDescent="0.25">
      <c r="B47" s="170">
        <v>2020</v>
      </c>
      <c r="C47" s="173"/>
      <c r="D47" s="173"/>
      <c r="E47" s="173"/>
      <c r="F47" s="195">
        <f>F46</f>
        <v>49631.22</v>
      </c>
      <c r="G47" s="170">
        <v>2020</v>
      </c>
      <c r="H47" s="173"/>
      <c r="I47" s="173"/>
      <c r="J47" s="173"/>
      <c r="K47" s="174">
        <f>K46</f>
        <v>17623158.569508862</v>
      </c>
      <c r="O47" s="170">
        <v>2020</v>
      </c>
      <c r="P47" s="172">
        <v>49631.22</v>
      </c>
      <c r="Q47" s="174">
        <v>17623158.569508862</v>
      </c>
    </row>
    <row r="48" spans="2:17" ht="15.75" x14ac:dyDescent="0.25">
      <c r="B48" s="204">
        <v>2021</v>
      </c>
      <c r="C48" s="173"/>
      <c r="D48" s="173"/>
      <c r="E48" s="173"/>
      <c r="F48" s="195">
        <f>F46*0.4</f>
        <v>19852.488000000001</v>
      </c>
      <c r="G48" s="204">
        <v>2021</v>
      </c>
      <c r="H48" s="173"/>
      <c r="I48" s="173"/>
      <c r="J48" s="173"/>
      <c r="K48" s="174">
        <f>K46*0.4</f>
        <v>7049263.4278035453</v>
      </c>
      <c r="O48" s="204">
        <v>2021</v>
      </c>
      <c r="P48" s="172">
        <v>19852.488000000001</v>
      </c>
      <c r="Q48" s="174">
        <v>7049263.4278035453</v>
      </c>
    </row>
    <row r="49" spans="2:17" ht="15.75" x14ac:dyDescent="0.25">
      <c r="B49" s="187" t="s">
        <v>81</v>
      </c>
      <c r="C49" s="194">
        <f>SUM(C36:C45)</f>
        <v>33067.440000000002</v>
      </c>
      <c r="D49" s="194">
        <f>SUM(D36:D45)</f>
        <v>27430.560000000001</v>
      </c>
      <c r="E49" s="194">
        <f>SUM(E36:E45)</f>
        <v>308064.32999999996</v>
      </c>
      <c r="F49" s="194">
        <f t="shared" si="2"/>
        <v>368562.32999999996</v>
      </c>
      <c r="G49" s="192" t="s">
        <v>290</v>
      </c>
      <c r="H49" s="190">
        <f>SUM(H36:H45)</f>
        <v>12109328.562418297</v>
      </c>
      <c r="I49" s="190">
        <f>SUM(I36:I45)</f>
        <v>12474176.309919246</v>
      </c>
      <c r="J49" s="190">
        <f>SUM(J36:J45)</f>
        <v>105801925.90530637</v>
      </c>
      <c r="K49" s="190">
        <f>SUM(K36:K48)</f>
        <v>172681011.34446517</v>
      </c>
      <c r="P49" s="191">
        <f>SUM(P46:P48)</f>
        <v>119114.928</v>
      </c>
      <c r="Q49" s="191">
        <f>SUM(Q46:Q48)</f>
        <v>42295580.56682127</v>
      </c>
    </row>
    <row r="54" spans="2:17" x14ac:dyDescent="0.25">
      <c r="B54" s="196" t="s">
        <v>266</v>
      </c>
    </row>
    <row r="55" spans="2:17" x14ac:dyDescent="0.25">
      <c r="D55" t="s">
        <v>267</v>
      </c>
    </row>
    <row r="56" spans="2:17" x14ac:dyDescent="0.25">
      <c r="C56" t="s">
        <v>258</v>
      </c>
      <c r="E56" t="s">
        <v>258</v>
      </c>
    </row>
    <row r="57" spans="2:17" ht="18.75" x14ac:dyDescent="0.35">
      <c r="B57" s="8" t="s">
        <v>50</v>
      </c>
      <c r="C57" s="187" t="s">
        <v>51</v>
      </c>
      <c r="D57" s="8" t="s">
        <v>52</v>
      </c>
      <c r="E57" s="197" t="s">
        <v>305</v>
      </c>
      <c r="F57" s="197" t="s">
        <v>268</v>
      </c>
      <c r="G57" s="197" t="s">
        <v>306</v>
      </c>
      <c r="H57" s="198"/>
    </row>
    <row r="58" spans="2:17" x14ac:dyDescent="0.25">
      <c r="B58" s="8">
        <v>2009</v>
      </c>
      <c r="C58" s="32">
        <f t="shared" ref="C58:C67" si="4">M18</f>
        <v>1904197.2509999997</v>
      </c>
      <c r="D58" s="32">
        <v>0</v>
      </c>
      <c r="E58" s="177">
        <f>G18*'[2]carbon stock estimates'!$C$13</f>
        <v>132355.63755124615</v>
      </c>
      <c r="F58" s="177">
        <f>'[2]BSL PA BGB'!C19+'[2]BSL PA DW'!C19</f>
        <v>62668.505687603094</v>
      </c>
      <c r="G58" s="32">
        <f>C58-D58-E58+F58</f>
        <v>1834510.1191363565</v>
      </c>
    </row>
    <row r="59" spans="2:17" x14ac:dyDescent="0.25">
      <c r="B59" s="8">
        <v>2010</v>
      </c>
      <c r="C59" s="32">
        <f t="shared" si="4"/>
        <v>2002973.61</v>
      </c>
      <c r="D59" s="32">
        <v>0</v>
      </c>
      <c r="E59" s="177">
        <f>G19*'[2]carbon stock estimates'!$C$13</f>
        <v>168532.50934841539</v>
      </c>
      <c r="F59" s="177">
        <f>'[2]BSL PA BGB'!C20+'[2]BSL PA DW'!C20</f>
        <v>126139.76383475726</v>
      </c>
      <c r="G59" s="32">
        <f t="shared" ref="G59:G67" si="5">C59-D59-E59+F59</f>
        <v>1960580.8644863421</v>
      </c>
      <c r="H59" s="199"/>
    </row>
    <row r="60" spans="2:17" x14ac:dyDescent="0.25">
      <c r="B60" s="8">
        <v>2011</v>
      </c>
      <c r="C60" s="32">
        <f t="shared" si="4"/>
        <v>1270517.8530000001</v>
      </c>
      <c r="D60" s="32">
        <v>0</v>
      </c>
      <c r="E60" s="177">
        <f>G20*'[2]carbon stock estimates'!$C$13</f>
        <v>100004.08937310001</v>
      </c>
      <c r="F60" s="177">
        <f>'[2]BSL PA BGB'!C21+'[2]BSL PA DW'!C21</f>
        <v>166512.36220939312</v>
      </c>
      <c r="G60" s="32">
        <f t="shared" si="5"/>
        <v>1337026.1258362932</v>
      </c>
      <c r="H60" s="199"/>
    </row>
    <row r="61" spans="2:17" x14ac:dyDescent="0.25">
      <c r="B61" s="8">
        <v>2012</v>
      </c>
      <c r="C61" s="32">
        <f t="shared" si="4"/>
        <v>1516529.4209999996</v>
      </c>
      <c r="D61" s="32">
        <v>0</v>
      </c>
      <c r="E61" s="177">
        <f>G21*'[2]carbon stock estimates'!$C$13</f>
        <v>118716.55392350769</v>
      </c>
      <c r="F61" s="177">
        <f>'[2]BSL PA BGB'!C22+'[2]BSL PA DW'!C22</f>
        <v>214881.61168196602</v>
      </c>
      <c r="G61" s="32">
        <f t="shared" si="5"/>
        <v>1612694.478758458</v>
      </c>
      <c r="H61" s="199"/>
    </row>
    <row r="62" spans="2:17" x14ac:dyDescent="0.25">
      <c r="B62" s="8">
        <v>2013</v>
      </c>
      <c r="C62" s="32">
        <f t="shared" si="4"/>
        <v>1911716.9939999999</v>
      </c>
      <c r="D62" s="32">
        <v>0</v>
      </c>
      <c r="E62" s="177">
        <f>G22*'[2]carbon stock estimates'!$C$13</f>
        <v>147838.82378683847</v>
      </c>
      <c r="F62" s="177">
        <f>'[2]BSL PA BGB'!C23+'[2]BSL PA DW'!C23</f>
        <v>276152.28760901105</v>
      </c>
      <c r="G62" s="32">
        <f t="shared" si="5"/>
        <v>2040030.4578221724</v>
      </c>
      <c r="H62" s="199"/>
    </row>
    <row r="63" spans="2:17" x14ac:dyDescent="0.25">
      <c r="B63" s="8">
        <v>2014</v>
      </c>
      <c r="C63" s="32">
        <f t="shared" si="4"/>
        <v>2545860.5699999998</v>
      </c>
      <c r="D63" s="32">
        <v>0</v>
      </c>
      <c r="E63" s="177">
        <f>G23*'[2]carbon stock estimates'!$C$13</f>
        <v>194461.87924883075</v>
      </c>
      <c r="F63" s="177">
        <f>'[2]BSL PA BGB'!C24+'[2]BSL PA DW'!C24</f>
        <v>358246.38120849611</v>
      </c>
      <c r="G63" s="32">
        <f t="shared" si="5"/>
        <v>2709645.071959665</v>
      </c>
      <c r="H63" s="199"/>
    </row>
    <row r="64" spans="2:17" x14ac:dyDescent="0.25">
      <c r="B64" s="8">
        <v>2015</v>
      </c>
      <c r="C64" s="32">
        <f t="shared" si="4"/>
        <v>3183141.324</v>
      </c>
      <c r="D64" s="32">
        <v>0</v>
      </c>
      <c r="E64" s="177">
        <f>G24*'[2]carbon stock estimates'!$C$13</f>
        <v>246871.89099768462</v>
      </c>
      <c r="F64" s="177">
        <f>'[2]BSL PA BGB'!C25+'[2]BSL PA DW'!C25</f>
        <v>460490.41883162281</v>
      </c>
      <c r="G64" s="32">
        <f t="shared" si="5"/>
        <v>3396759.8518339382</v>
      </c>
      <c r="H64" s="199"/>
    </row>
    <row r="65" spans="2:9" x14ac:dyDescent="0.25">
      <c r="B65" s="8">
        <v>2016</v>
      </c>
      <c r="C65" s="32">
        <f t="shared" si="4"/>
        <v>3789914.8319999999</v>
      </c>
      <c r="D65" s="32">
        <v>0</v>
      </c>
      <c r="E65" s="177">
        <f>G25*'[2]carbon stock estimates'!$C$13</f>
        <v>296422.00462024618</v>
      </c>
      <c r="F65" s="177">
        <f>'[2]BSL PA BGB'!C26+'[2]BSL PA DW'!C26</f>
        <v>581869.95307893539</v>
      </c>
      <c r="G65" s="32">
        <f t="shared" si="5"/>
        <v>4075362.7804586892</v>
      </c>
      <c r="H65" s="199"/>
    </row>
    <row r="66" spans="2:9" x14ac:dyDescent="0.25">
      <c r="B66" s="8">
        <v>2017</v>
      </c>
      <c r="C66" s="32">
        <f t="shared" si="4"/>
        <v>4258008.1169999996</v>
      </c>
      <c r="D66" s="32">
        <v>0</v>
      </c>
      <c r="E66" s="177">
        <f>G26*'[2]carbon stock estimates'!$C$13</f>
        <v>334193.9272314923</v>
      </c>
      <c r="F66" s="177">
        <f>'[2]BSL PA BGB'!C27+'[2]BSL PA DW'!C27</f>
        <v>718410.31739839574</v>
      </c>
      <c r="G66" s="32">
        <f t="shared" si="5"/>
        <v>4642224.5071669025</v>
      </c>
      <c r="H66" s="199"/>
    </row>
    <row r="67" spans="2:9" x14ac:dyDescent="0.25">
      <c r="B67" s="8">
        <v>2018</v>
      </c>
      <c r="C67" s="32">
        <f t="shared" si="4"/>
        <v>4873035.584999999</v>
      </c>
      <c r="D67" s="32">
        <v>0</v>
      </c>
      <c r="E67" s="177">
        <f>G27*'[2]carbon stock estimates'!$C$13</f>
        <v>385839.99359044613</v>
      </c>
      <c r="F67" s="177">
        <f>'[2]BSL PA BGB'!C28+'[2]BSL PA DW'!C28</f>
        <v>874941.71140725934</v>
      </c>
      <c r="G67" s="32">
        <f t="shared" si="5"/>
        <v>5362137.3028168119</v>
      </c>
      <c r="H67" s="199" t="s">
        <v>307</v>
      </c>
    </row>
    <row r="68" spans="2:9" s="76" customFormat="1" x14ac:dyDescent="0.25">
      <c r="B68" s="170">
        <v>2019</v>
      </c>
      <c r="C68" s="200"/>
      <c r="D68" s="200"/>
      <c r="E68" s="173"/>
      <c r="F68" s="173"/>
      <c r="G68" s="200">
        <f>G$67*H68</f>
        <v>5362137.3028168119</v>
      </c>
      <c r="H68" s="201">
        <f>365/365</f>
        <v>1</v>
      </c>
    </row>
    <row r="69" spans="2:9" s="76" customFormat="1" x14ac:dyDescent="0.25">
      <c r="B69" s="170">
        <v>2020</v>
      </c>
      <c r="C69" s="200"/>
      <c r="D69" s="200"/>
      <c r="E69" s="173"/>
      <c r="F69" s="173"/>
      <c r="G69" s="200">
        <v>5362137.3028168119</v>
      </c>
      <c r="H69" s="201">
        <f>365/365</f>
        <v>1</v>
      </c>
    </row>
    <row r="70" spans="2:9" s="76" customFormat="1" x14ac:dyDescent="0.25">
      <c r="B70" s="170">
        <v>2021</v>
      </c>
      <c r="C70" s="200"/>
      <c r="D70" s="200"/>
      <c r="E70" s="173"/>
      <c r="F70" s="173"/>
      <c r="G70" s="200">
        <f>G$67*H70</f>
        <v>2144854.9211267247</v>
      </c>
      <c r="H70" s="201">
        <f>SUM(24,30,31,30,31)/365</f>
        <v>0.4</v>
      </c>
      <c r="I70" s="76" t="s">
        <v>308</v>
      </c>
    </row>
    <row r="71" spans="2:9" s="76" customFormat="1" x14ac:dyDescent="0.25">
      <c r="B71" s="170"/>
      <c r="C71" s="200"/>
      <c r="D71" s="200"/>
      <c r="E71" s="173"/>
      <c r="F71" s="202" t="s">
        <v>309</v>
      </c>
      <c r="G71" s="200">
        <f>SUM(G68:G70)</f>
        <v>12869129.526760349</v>
      </c>
      <c r="H71" s="201"/>
    </row>
    <row r="72" spans="2:9" x14ac:dyDescent="0.25">
      <c r="B72" s="8"/>
      <c r="C72" s="8"/>
      <c r="D72" s="8"/>
      <c r="E72" s="140" t="s">
        <v>53</v>
      </c>
      <c r="F72" s="140"/>
      <c r="G72" s="141">
        <f>SUM(G58:G67)</f>
        <v>28970971.560275629</v>
      </c>
    </row>
    <row r="74" spans="2:9" x14ac:dyDescent="0.25">
      <c r="B74" t="s">
        <v>248</v>
      </c>
    </row>
    <row r="75" spans="2:9" x14ac:dyDescent="0.25">
      <c r="C75" t="s">
        <v>258</v>
      </c>
      <c r="E75" t="s">
        <v>258</v>
      </c>
    </row>
    <row r="76" spans="2:9" ht="18.75" x14ac:dyDescent="0.35">
      <c r="B76" s="8" t="s">
        <v>50</v>
      </c>
      <c r="C76" s="187" t="s">
        <v>51</v>
      </c>
      <c r="D76" s="8" t="s">
        <v>52</v>
      </c>
      <c r="E76" s="197" t="s">
        <v>305</v>
      </c>
      <c r="F76" s="197" t="s">
        <v>268</v>
      </c>
      <c r="G76" s="197" t="s">
        <v>306</v>
      </c>
    </row>
    <row r="77" spans="2:9" x14ac:dyDescent="0.25">
      <c r="B77" s="8">
        <v>2009</v>
      </c>
      <c r="C77" s="32">
        <f t="shared" ref="C77:C86" si="6">K36</f>
        <v>7307972.7891983222</v>
      </c>
      <c r="D77" s="32">
        <v>0</v>
      </c>
      <c r="E77" s="177">
        <f>F36*'[2]carbon stock estimates'!$C$13</f>
        <v>620536.33004067687</v>
      </c>
      <c r="F77" s="177">
        <f>'[2]BSL LB BGB'!C19+'[2]BSL LB DW'!C19</f>
        <v>223404.28029430838</v>
      </c>
      <c r="G77" s="32">
        <f>C77-D77-E77+F77</f>
        <v>6910840.7394519541</v>
      </c>
    </row>
    <row r="78" spans="2:9" x14ac:dyDescent="0.25">
      <c r="B78" s="8">
        <v>2010</v>
      </c>
      <c r="C78" s="32">
        <f t="shared" si="6"/>
        <v>7718936.8474392043</v>
      </c>
      <c r="D78" s="32">
        <v>0</v>
      </c>
      <c r="E78" s="177">
        <f>F37*'[2]carbon stock estimates'!$C$13</f>
        <v>680918.79752515384</v>
      </c>
      <c r="F78" s="177">
        <f>'[2]BSL LB BGB'!C20+'[2]BSL LB DW'!C20</f>
        <v>459156.09572884312</v>
      </c>
      <c r="G78" s="32">
        <f t="shared" ref="G78:G86" si="7">C78-D78-E78+F78</f>
        <v>7497174.1456428943</v>
      </c>
    </row>
    <row r="79" spans="2:9" x14ac:dyDescent="0.25">
      <c r="B79" s="8">
        <v>2011</v>
      </c>
      <c r="C79" s="32">
        <f t="shared" si="6"/>
        <v>9763182.4902173094</v>
      </c>
      <c r="D79" s="32">
        <v>0</v>
      </c>
      <c r="E79" s="177">
        <f>F38*'[2]carbon stock estimates'!$C$13</f>
        <v>862438.37850186927</v>
      </c>
      <c r="F79" s="177">
        <f>'[2]BSL LB BGB'!C21+'[2]BSL LB DW'!C21</f>
        <v>757330.35902773181</v>
      </c>
      <c r="G79" s="32">
        <f t="shared" si="7"/>
        <v>9658074.4707431719</v>
      </c>
    </row>
    <row r="80" spans="2:9" x14ac:dyDescent="0.25">
      <c r="B80" s="8">
        <v>2012</v>
      </c>
      <c r="C80" s="32">
        <f t="shared" si="6"/>
        <v>11044434.473242983</v>
      </c>
      <c r="D80" s="32">
        <v>0</v>
      </c>
      <c r="E80" s="177">
        <f>F39*'[2]carbon stock estimates'!$C$13</f>
        <v>976269.03993173072</v>
      </c>
      <c r="F80" s="177">
        <f>'[2]BSL LB BGB'!C22+'[2]BSL LB DW'!C22</f>
        <v>1094627.4589755391</v>
      </c>
      <c r="G80" s="32">
        <f t="shared" si="7"/>
        <v>11162792.892286791</v>
      </c>
    </row>
    <row r="81" spans="2:9" x14ac:dyDescent="0.25">
      <c r="B81" s="8">
        <v>2013</v>
      </c>
      <c r="C81" s="32">
        <f t="shared" si="6"/>
        <v>12481049.192148695</v>
      </c>
      <c r="D81" s="32">
        <v>0</v>
      </c>
      <c r="E81" s="177">
        <f>F40*'[2]carbon stock estimates'!$C$13</f>
        <v>1103022.4112903769</v>
      </c>
      <c r="F81" s="177">
        <f>'[2]BSL LB BGB'!C23+'[2]BSL LB DW'!C23</f>
        <v>1475799.3115409515</v>
      </c>
      <c r="G81" s="32">
        <f t="shared" si="7"/>
        <v>12853826.092399269</v>
      </c>
    </row>
    <row r="82" spans="2:9" x14ac:dyDescent="0.25">
      <c r="B82" s="8">
        <v>2014</v>
      </c>
      <c r="C82" s="32">
        <f t="shared" si="6"/>
        <v>14051516.548359081</v>
      </c>
      <c r="D82" s="32">
        <v>0</v>
      </c>
      <c r="E82" s="177">
        <f>F41*'[2]carbon stock estimates'!$C$13</f>
        <v>1240157.6046143307</v>
      </c>
      <c r="F82" s="177">
        <f>'[2]BSL LB BGB'!C24+'[2]BSL LB DW'!C24</f>
        <v>1904946.485432842</v>
      </c>
      <c r="G82" s="32">
        <f t="shared" si="7"/>
        <v>14716305.429177593</v>
      </c>
    </row>
    <row r="83" spans="2:9" x14ac:dyDescent="0.25">
      <c r="B83" s="8">
        <v>2015</v>
      </c>
      <c r="C83" s="32">
        <f t="shared" si="6"/>
        <v>15941896.648772784</v>
      </c>
      <c r="D83" s="32">
        <v>0</v>
      </c>
      <c r="E83" s="177">
        <f>F42*'[2]carbon stock estimates'!$C$13</f>
        <v>1404861.9920089615</v>
      </c>
      <c r="F83" s="177">
        <f>'[2]BSL LB BGB'!C25+'[2]BSL LB DW'!C25</f>
        <v>2391846.2051645117</v>
      </c>
      <c r="G83" s="32">
        <f t="shared" si="7"/>
        <v>16928880.861928333</v>
      </c>
    </row>
    <row r="84" spans="2:9" x14ac:dyDescent="0.25">
      <c r="B84" s="8">
        <v>2016</v>
      </c>
      <c r="C84" s="32">
        <f t="shared" si="6"/>
        <v>17037313.171770021</v>
      </c>
      <c r="D84" s="32">
        <v>0</v>
      </c>
      <c r="E84" s="177">
        <f>F43*'[2]carbon stock estimates'!$C$13</f>
        <v>1498362.751396246</v>
      </c>
      <c r="F84" s="177">
        <f>'[2]BSL LB BGB'!C26+'[2]BSL LB DW'!C26</f>
        <v>2912226.4422040256</v>
      </c>
      <c r="G84" s="32">
        <f t="shared" si="7"/>
        <v>18451176.8625778</v>
      </c>
    </row>
    <row r="85" spans="2:9" x14ac:dyDescent="0.25">
      <c r="B85" s="8">
        <v>2017</v>
      </c>
      <c r="C85" s="32">
        <f t="shared" si="6"/>
        <v>17415970.046986647</v>
      </c>
      <c r="D85" s="32">
        <v>0</v>
      </c>
      <c r="E85" s="177">
        <f>F44*'[2]carbon stock estimates'!$C$13</f>
        <v>1529832.8241245076</v>
      </c>
      <c r="F85" s="177">
        <f>'[2]BSL LB BGB'!C27+'[2]BSL LB DW'!C27</f>
        <v>3444186.4053445789</v>
      </c>
      <c r="G85" s="32">
        <f t="shared" si="7"/>
        <v>19330323.628206719</v>
      </c>
    </row>
    <row r="86" spans="2:9" x14ac:dyDescent="0.25">
      <c r="B86" s="8">
        <v>2018</v>
      </c>
      <c r="C86" s="32">
        <f t="shared" si="6"/>
        <v>17623158.569508862</v>
      </c>
      <c r="D86" s="32">
        <v>0</v>
      </c>
      <c r="E86" s="177">
        <f>F45*'[2]carbon stock estimates'!$C$13</f>
        <v>1543164.090928477</v>
      </c>
      <c r="F86" s="177">
        <f>'[2]BSL LB BGB'!C28+'[2]BSL LB DW'!C28</f>
        <v>3982512.9160300773</v>
      </c>
      <c r="G86" s="32">
        <f t="shared" si="7"/>
        <v>20062507.394610465</v>
      </c>
    </row>
    <row r="87" spans="2:9" s="76" customFormat="1" x14ac:dyDescent="0.25">
      <c r="B87" s="170">
        <v>2019</v>
      </c>
      <c r="C87" s="200"/>
      <c r="D87" s="200"/>
      <c r="E87" s="173"/>
      <c r="F87" s="173"/>
      <c r="G87" s="200">
        <f>G$86*H87</f>
        <v>20062507.394610465</v>
      </c>
      <c r="H87" s="201">
        <f>365/365</f>
        <v>1</v>
      </c>
    </row>
    <row r="88" spans="2:9" s="76" customFormat="1" x14ac:dyDescent="0.25">
      <c r="B88" s="170">
        <v>2020</v>
      </c>
      <c r="C88" s="200"/>
      <c r="D88" s="200"/>
      <c r="E88" s="173"/>
      <c r="F88" s="173"/>
      <c r="G88" s="200">
        <v>20062507.394610465</v>
      </c>
      <c r="H88" s="201"/>
    </row>
    <row r="89" spans="2:9" s="76" customFormat="1" x14ac:dyDescent="0.25">
      <c r="B89" s="170">
        <v>2021</v>
      </c>
      <c r="C89" s="200"/>
      <c r="D89" s="200"/>
      <c r="E89" s="173"/>
      <c r="F89" s="173"/>
      <c r="G89" s="200">
        <f>G$86*H89</f>
        <v>8025002.9578441866</v>
      </c>
      <c r="H89" s="201">
        <f>SUM(24,30,31,30,31)/365</f>
        <v>0.4</v>
      </c>
      <c r="I89" s="76" t="s">
        <v>308</v>
      </c>
    </row>
    <row r="90" spans="2:9" s="76" customFormat="1" x14ac:dyDescent="0.25">
      <c r="B90" s="170"/>
      <c r="C90" s="200"/>
      <c r="D90" s="200"/>
      <c r="E90" s="173"/>
      <c r="F90" s="202" t="s">
        <v>309</v>
      </c>
      <c r="G90" s="200">
        <f>SUM(G87:G89)</f>
        <v>48150017.747065112</v>
      </c>
      <c r="H90" s="201"/>
    </row>
    <row r="91" spans="2:9" x14ac:dyDescent="0.25">
      <c r="B91" s="8"/>
      <c r="C91" s="8"/>
      <c r="D91" s="8"/>
      <c r="E91" s="140" t="s">
        <v>53</v>
      </c>
      <c r="F91" s="140"/>
      <c r="G91" s="141">
        <f>SUM(G77:G86)</f>
        <v>137571902.51702499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H1712"/>
  <sheetViews>
    <sheetView workbookViewId="0">
      <selection activeCell="H48" sqref="H48"/>
    </sheetView>
  </sheetViews>
  <sheetFormatPr baseColWidth="10" defaultColWidth="9.140625" defaultRowHeight="15" x14ac:dyDescent="0.25"/>
  <cols>
    <col min="4" max="4" width="9.5703125" bestFit="1" customWidth="1"/>
    <col min="5" max="5" width="12.140625" bestFit="1" customWidth="1"/>
    <col min="6" max="6" width="12.42578125" bestFit="1" customWidth="1"/>
    <col min="7" max="7" width="12.42578125" customWidth="1"/>
    <col min="8" max="8" width="10.5703125" bestFit="1" customWidth="1"/>
    <col min="9" max="9" width="9.5703125" bestFit="1" customWidth="1"/>
    <col min="10" max="10" width="10.5703125" bestFit="1" customWidth="1"/>
    <col min="11" max="11" width="11.5703125" bestFit="1" customWidth="1"/>
    <col min="260" max="260" width="9.5703125" bestFit="1" customWidth="1"/>
    <col min="261" max="261" width="12.140625" bestFit="1" customWidth="1"/>
    <col min="262" max="262" width="12.42578125" bestFit="1" customWidth="1"/>
    <col min="263" max="263" width="12.42578125" customWidth="1"/>
    <col min="264" max="264" width="10.5703125" bestFit="1" customWidth="1"/>
    <col min="265" max="265" width="9.5703125" bestFit="1" customWidth="1"/>
    <col min="266" max="266" width="10.5703125" bestFit="1" customWidth="1"/>
    <col min="267" max="267" width="11.5703125" bestFit="1" customWidth="1"/>
    <col min="516" max="516" width="9.5703125" bestFit="1" customWidth="1"/>
    <col min="517" max="517" width="12.140625" bestFit="1" customWidth="1"/>
    <col min="518" max="518" width="12.42578125" bestFit="1" customWidth="1"/>
    <col min="519" max="519" width="12.42578125" customWidth="1"/>
    <col min="520" max="520" width="10.5703125" bestFit="1" customWidth="1"/>
    <col min="521" max="521" width="9.5703125" bestFit="1" customWidth="1"/>
    <col min="522" max="522" width="10.5703125" bestFit="1" customWidth="1"/>
    <col min="523" max="523" width="11.5703125" bestFit="1" customWidth="1"/>
    <col min="772" max="772" width="9.5703125" bestFit="1" customWidth="1"/>
    <col min="773" max="773" width="12.140625" bestFit="1" customWidth="1"/>
    <col min="774" max="774" width="12.42578125" bestFit="1" customWidth="1"/>
    <col min="775" max="775" width="12.42578125" customWidth="1"/>
    <col min="776" max="776" width="10.5703125" bestFit="1" customWidth="1"/>
    <col min="777" max="777" width="9.5703125" bestFit="1" customWidth="1"/>
    <col min="778" max="778" width="10.5703125" bestFit="1" customWidth="1"/>
    <col min="779" max="779" width="11.5703125" bestFit="1" customWidth="1"/>
    <col min="1028" max="1028" width="9.5703125" bestFit="1" customWidth="1"/>
    <col min="1029" max="1029" width="12.140625" bestFit="1" customWidth="1"/>
    <col min="1030" max="1030" width="12.42578125" bestFit="1" customWidth="1"/>
    <col min="1031" max="1031" width="12.42578125" customWidth="1"/>
    <col min="1032" max="1032" width="10.5703125" bestFit="1" customWidth="1"/>
    <col min="1033" max="1033" width="9.5703125" bestFit="1" customWidth="1"/>
    <col min="1034" max="1034" width="10.5703125" bestFit="1" customWidth="1"/>
    <col min="1035" max="1035" width="11.5703125" bestFit="1" customWidth="1"/>
    <col min="1284" max="1284" width="9.5703125" bestFit="1" customWidth="1"/>
    <col min="1285" max="1285" width="12.140625" bestFit="1" customWidth="1"/>
    <col min="1286" max="1286" width="12.42578125" bestFit="1" customWidth="1"/>
    <col min="1287" max="1287" width="12.42578125" customWidth="1"/>
    <col min="1288" max="1288" width="10.5703125" bestFit="1" customWidth="1"/>
    <col min="1289" max="1289" width="9.5703125" bestFit="1" customWidth="1"/>
    <col min="1290" max="1290" width="10.5703125" bestFit="1" customWidth="1"/>
    <col min="1291" max="1291" width="11.5703125" bestFit="1" customWidth="1"/>
    <col min="1540" max="1540" width="9.5703125" bestFit="1" customWidth="1"/>
    <col min="1541" max="1541" width="12.140625" bestFit="1" customWidth="1"/>
    <col min="1542" max="1542" width="12.42578125" bestFit="1" customWidth="1"/>
    <col min="1543" max="1543" width="12.42578125" customWidth="1"/>
    <col min="1544" max="1544" width="10.5703125" bestFit="1" customWidth="1"/>
    <col min="1545" max="1545" width="9.5703125" bestFit="1" customWidth="1"/>
    <col min="1546" max="1546" width="10.5703125" bestFit="1" customWidth="1"/>
    <col min="1547" max="1547" width="11.5703125" bestFit="1" customWidth="1"/>
    <col min="1796" max="1796" width="9.5703125" bestFit="1" customWidth="1"/>
    <col min="1797" max="1797" width="12.140625" bestFit="1" customWidth="1"/>
    <col min="1798" max="1798" width="12.42578125" bestFit="1" customWidth="1"/>
    <col min="1799" max="1799" width="12.42578125" customWidth="1"/>
    <col min="1800" max="1800" width="10.5703125" bestFit="1" customWidth="1"/>
    <col min="1801" max="1801" width="9.5703125" bestFit="1" customWidth="1"/>
    <col min="1802" max="1802" width="10.5703125" bestFit="1" customWidth="1"/>
    <col min="1803" max="1803" width="11.5703125" bestFit="1" customWidth="1"/>
    <col min="2052" max="2052" width="9.5703125" bestFit="1" customWidth="1"/>
    <col min="2053" max="2053" width="12.140625" bestFit="1" customWidth="1"/>
    <col min="2054" max="2054" width="12.42578125" bestFit="1" customWidth="1"/>
    <col min="2055" max="2055" width="12.42578125" customWidth="1"/>
    <col min="2056" max="2056" width="10.5703125" bestFit="1" customWidth="1"/>
    <col min="2057" max="2057" width="9.5703125" bestFit="1" customWidth="1"/>
    <col min="2058" max="2058" width="10.5703125" bestFit="1" customWidth="1"/>
    <col min="2059" max="2059" width="11.5703125" bestFit="1" customWidth="1"/>
    <col min="2308" max="2308" width="9.5703125" bestFit="1" customWidth="1"/>
    <col min="2309" max="2309" width="12.140625" bestFit="1" customWidth="1"/>
    <col min="2310" max="2310" width="12.42578125" bestFit="1" customWidth="1"/>
    <col min="2311" max="2311" width="12.42578125" customWidth="1"/>
    <col min="2312" max="2312" width="10.5703125" bestFit="1" customWidth="1"/>
    <col min="2313" max="2313" width="9.5703125" bestFit="1" customWidth="1"/>
    <col min="2314" max="2314" width="10.5703125" bestFit="1" customWidth="1"/>
    <col min="2315" max="2315" width="11.5703125" bestFit="1" customWidth="1"/>
    <col min="2564" max="2564" width="9.5703125" bestFit="1" customWidth="1"/>
    <col min="2565" max="2565" width="12.140625" bestFit="1" customWidth="1"/>
    <col min="2566" max="2566" width="12.42578125" bestFit="1" customWidth="1"/>
    <col min="2567" max="2567" width="12.42578125" customWidth="1"/>
    <col min="2568" max="2568" width="10.5703125" bestFit="1" customWidth="1"/>
    <col min="2569" max="2569" width="9.5703125" bestFit="1" customWidth="1"/>
    <col min="2570" max="2570" width="10.5703125" bestFit="1" customWidth="1"/>
    <col min="2571" max="2571" width="11.5703125" bestFit="1" customWidth="1"/>
    <col min="2820" max="2820" width="9.5703125" bestFit="1" customWidth="1"/>
    <col min="2821" max="2821" width="12.140625" bestFit="1" customWidth="1"/>
    <col min="2822" max="2822" width="12.42578125" bestFit="1" customWidth="1"/>
    <col min="2823" max="2823" width="12.42578125" customWidth="1"/>
    <col min="2824" max="2824" width="10.5703125" bestFit="1" customWidth="1"/>
    <col min="2825" max="2825" width="9.5703125" bestFit="1" customWidth="1"/>
    <col min="2826" max="2826" width="10.5703125" bestFit="1" customWidth="1"/>
    <col min="2827" max="2827" width="11.5703125" bestFit="1" customWidth="1"/>
    <col min="3076" max="3076" width="9.5703125" bestFit="1" customWidth="1"/>
    <col min="3077" max="3077" width="12.140625" bestFit="1" customWidth="1"/>
    <col min="3078" max="3078" width="12.42578125" bestFit="1" customWidth="1"/>
    <col min="3079" max="3079" width="12.42578125" customWidth="1"/>
    <col min="3080" max="3080" width="10.5703125" bestFit="1" customWidth="1"/>
    <col min="3081" max="3081" width="9.5703125" bestFit="1" customWidth="1"/>
    <col min="3082" max="3082" width="10.5703125" bestFit="1" customWidth="1"/>
    <col min="3083" max="3083" width="11.5703125" bestFit="1" customWidth="1"/>
    <col min="3332" max="3332" width="9.5703125" bestFit="1" customWidth="1"/>
    <col min="3333" max="3333" width="12.140625" bestFit="1" customWidth="1"/>
    <col min="3334" max="3334" width="12.42578125" bestFit="1" customWidth="1"/>
    <col min="3335" max="3335" width="12.42578125" customWidth="1"/>
    <col min="3336" max="3336" width="10.5703125" bestFit="1" customWidth="1"/>
    <col min="3337" max="3337" width="9.5703125" bestFit="1" customWidth="1"/>
    <col min="3338" max="3338" width="10.5703125" bestFit="1" customWidth="1"/>
    <col min="3339" max="3339" width="11.5703125" bestFit="1" customWidth="1"/>
    <col min="3588" max="3588" width="9.5703125" bestFit="1" customWidth="1"/>
    <col min="3589" max="3589" width="12.140625" bestFit="1" customWidth="1"/>
    <col min="3590" max="3590" width="12.42578125" bestFit="1" customWidth="1"/>
    <col min="3591" max="3591" width="12.42578125" customWidth="1"/>
    <col min="3592" max="3592" width="10.5703125" bestFit="1" customWidth="1"/>
    <col min="3593" max="3593" width="9.5703125" bestFit="1" customWidth="1"/>
    <col min="3594" max="3594" width="10.5703125" bestFit="1" customWidth="1"/>
    <col min="3595" max="3595" width="11.5703125" bestFit="1" customWidth="1"/>
    <col min="3844" max="3844" width="9.5703125" bestFit="1" customWidth="1"/>
    <col min="3845" max="3845" width="12.140625" bestFit="1" customWidth="1"/>
    <col min="3846" max="3846" width="12.42578125" bestFit="1" customWidth="1"/>
    <col min="3847" max="3847" width="12.42578125" customWidth="1"/>
    <col min="3848" max="3848" width="10.5703125" bestFit="1" customWidth="1"/>
    <col min="3849" max="3849" width="9.5703125" bestFit="1" customWidth="1"/>
    <col min="3850" max="3850" width="10.5703125" bestFit="1" customWidth="1"/>
    <col min="3851" max="3851" width="11.5703125" bestFit="1" customWidth="1"/>
    <col min="4100" max="4100" width="9.5703125" bestFit="1" customWidth="1"/>
    <col min="4101" max="4101" width="12.140625" bestFit="1" customWidth="1"/>
    <col min="4102" max="4102" width="12.42578125" bestFit="1" customWidth="1"/>
    <col min="4103" max="4103" width="12.42578125" customWidth="1"/>
    <col min="4104" max="4104" width="10.5703125" bestFit="1" customWidth="1"/>
    <col min="4105" max="4105" width="9.5703125" bestFit="1" customWidth="1"/>
    <col min="4106" max="4106" width="10.5703125" bestFit="1" customWidth="1"/>
    <col min="4107" max="4107" width="11.5703125" bestFit="1" customWidth="1"/>
    <col min="4356" max="4356" width="9.5703125" bestFit="1" customWidth="1"/>
    <col min="4357" max="4357" width="12.140625" bestFit="1" customWidth="1"/>
    <col min="4358" max="4358" width="12.42578125" bestFit="1" customWidth="1"/>
    <col min="4359" max="4359" width="12.42578125" customWidth="1"/>
    <col min="4360" max="4360" width="10.5703125" bestFit="1" customWidth="1"/>
    <col min="4361" max="4361" width="9.5703125" bestFit="1" customWidth="1"/>
    <col min="4362" max="4362" width="10.5703125" bestFit="1" customWidth="1"/>
    <col min="4363" max="4363" width="11.5703125" bestFit="1" customWidth="1"/>
    <col min="4612" max="4612" width="9.5703125" bestFit="1" customWidth="1"/>
    <col min="4613" max="4613" width="12.140625" bestFit="1" customWidth="1"/>
    <col min="4614" max="4614" width="12.42578125" bestFit="1" customWidth="1"/>
    <col min="4615" max="4615" width="12.42578125" customWidth="1"/>
    <col min="4616" max="4616" width="10.5703125" bestFit="1" customWidth="1"/>
    <col min="4617" max="4617" width="9.5703125" bestFit="1" customWidth="1"/>
    <col min="4618" max="4618" width="10.5703125" bestFit="1" customWidth="1"/>
    <col min="4619" max="4619" width="11.5703125" bestFit="1" customWidth="1"/>
    <col min="4868" max="4868" width="9.5703125" bestFit="1" customWidth="1"/>
    <col min="4869" max="4869" width="12.140625" bestFit="1" customWidth="1"/>
    <col min="4870" max="4870" width="12.42578125" bestFit="1" customWidth="1"/>
    <col min="4871" max="4871" width="12.42578125" customWidth="1"/>
    <col min="4872" max="4872" width="10.5703125" bestFit="1" customWidth="1"/>
    <col min="4873" max="4873" width="9.5703125" bestFit="1" customWidth="1"/>
    <col min="4874" max="4874" width="10.5703125" bestFit="1" customWidth="1"/>
    <col min="4875" max="4875" width="11.5703125" bestFit="1" customWidth="1"/>
    <col min="5124" max="5124" width="9.5703125" bestFit="1" customWidth="1"/>
    <col min="5125" max="5125" width="12.140625" bestFit="1" customWidth="1"/>
    <col min="5126" max="5126" width="12.42578125" bestFit="1" customWidth="1"/>
    <col min="5127" max="5127" width="12.42578125" customWidth="1"/>
    <col min="5128" max="5128" width="10.5703125" bestFit="1" customWidth="1"/>
    <col min="5129" max="5129" width="9.5703125" bestFit="1" customWidth="1"/>
    <col min="5130" max="5130" width="10.5703125" bestFit="1" customWidth="1"/>
    <col min="5131" max="5131" width="11.5703125" bestFit="1" customWidth="1"/>
    <col min="5380" max="5380" width="9.5703125" bestFit="1" customWidth="1"/>
    <col min="5381" max="5381" width="12.140625" bestFit="1" customWidth="1"/>
    <col min="5382" max="5382" width="12.42578125" bestFit="1" customWidth="1"/>
    <col min="5383" max="5383" width="12.42578125" customWidth="1"/>
    <col min="5384" max="5384" width="10.5703125" bestFit="1" customWidth="1"/>
    <col min="5385" max="5385" width="9.5703125" bestFit="1" customWidth="1"/>
    <col min="5386" max="5386" width="10.5703125" bestFit="1" customWidth="1"/>
    <col min="5387" max="5387" width="11.5703125" bestFit="1" customWidth="1"/>
    <col min="5636" max="5636" width="9.5703125" bestFit="1" customWidth="1"/>
    <col min="5637" max="5637" width="12.140625" bestFit="1" customWidth="1"/>
    <col min="5638" max="5638" width="12.42578125" bestFit="1" customWidth="1"/>
    <col min="5639" max="5639" width="12.42578125" customWidth="1"/>
    <col min="5640" max="5640" width="10.5703125" bestFit="1" customWidth="1"/>
    <col min="5641" max="5641" width="9.5703125" bestFit="1" customWidth="1"/>
    <col min="5642" max="5642" width="10.5703125" bestFit="1" customWidth="1"/>
    <col min="5643" max="5643" width="11.5703125" bestFit="1" customWidth="1"/>
    <col min="5892" max="5892" width="9.5703125" bestFit="1" customWidth="1"/>
    <col min="5893" max="5893" width="12.140625" bestFit="1" customWidth="1"/>
    <col min="5894" max="5894" width="12.42578125" bestFit="1" customWidth="1"/>
    <col min="5895" max="5895" width="12.42578125" customWidth="1"/>
    <col min="5896" max="5896" width="10.5703125" bestFit="1" customWidth="1"/>
    <col min="5897" max="5897" width="9.5703125" bestFit="1" customWidth="1"/>
    <col min="5898" max="5898" width="10.5703125" bestFit="1" customWidth="1"/>
    <col min="5899" max="5899" width="11.5703125" bestFit="1" customWidth="1"/>
    <col min="6148" max="6148" width="9.5703125" bestFit="1" customWidth="1"/>
    <col min="6149" max="6149" width="12.140625" bestFit="1" customWidth="1"/>
    <col min="6150" max="6150" width="12.42578125" bestFit="1" customWidth="1"/>
    <col min="6151" max="6151" width="12.42578125" customWidth="1"/>
    <col min="6152" max="6152" width="10.5703125" bestFit="1" customWidth="1"/>
    <col min="6153" max="6153" width="9.5703125" bestFit="1" customWidth="1"/>
    <col min="6154" max="6154" width="10.5703125" bestFit="1" customWidth="1"/>
    <col min="6155" max="6155" width="11.5703125" bestFit="1" customWidth="1"/>
    <col min="6404" max="6404" width="9.5703125" bestFit="1" customWidth="1"/>
    <col min="6405" max="6405" width="12.140625" bestFit="1" customWidth="1"/>
    <col min="6406" max="6406" width="12.42578125" bestFit="1" customWidth="1"/>
    <col min="6407" max="6407" width="12.42578125" customWidth="1"/>
    <col min="6408" max="6408" width="10.5703125" bestFit="1" customWidth="1"/>
    <col min="6409" max="6409" width="9.5703125" bestFit="1" customWidth="1"/>
    <col min="6410" max="6410" width="10.5703125" bestFit="1" customWidth="1"/>
    <col min="6411" max="6411" width="11.5703125" bestFit="1" customWidth="1"/>
    <col min="6660" max="6660" width="9.5703125" bestFit="1" customWidth="1"/>
    <col min="6661" max="6661" width="12.140625" bestFit="1" customWidth="1"/>
    <col min="6662" max="6662" width="12.42578125" bestFit="1" customWidth="1"/>
    <col min="6663" max="6663" width="12.42578125" customWidth="1"/>
    <col min="6664" max="6664" width="10.5703125" bestFit="1" customWidth="1"/>
    <col min="6665" max="6665" width="9.5703125" bestFit="1" customWidth="1"/>
    <col min="6666" max="6666" width="10.5703125" bestFit="1" customWidth="1"/>
    <col min="6667" max="6667" width="11.5703125" bestFit="1" customWidth="1"/>
    <col min="6916" max="6916" width="9.5703125" bestFit="1" customWidth="1"/>
    <col min="6917" max="6917" width="12.140625" bestFit="1" customWidth="1"/>
    <col min="6918" max="6918" width="12.42578125" bestFit="1" customWidth="1"/>
    <col min="6919" max="6919" width="12.42578125" customWidth="1"/>
    <col min="6920" max="6920" width="10.5703125" bestFit="1" customWidth="1"/>
    <col min="6921" max="6921" width="9.5703125" bestFit="1" customWidth="1"/>
    <col min="6922" max="6922" width="10.5703125" bestFit="1" customWidth="1"/>
    <col min="6923" max="6923" width="11.5703125" bestFit="1" customWidth="1"/>
    <col min="7172" max="7172" width="9.5703125" bestFit="1" customWidth="1"/>
    <col min="7173" max="7173" width="12.140625" bestFit="1" customWidth="1"/>
    <col min="7174" max="7174" width="12.42578125" bestFit="1" customWidth="1"/>
    <col min="7175" max="7175" width="12.42578125" customWidth="1"/>
    <col min="7176" max="7176" width="10.5703125" bestFit="1" customWidth="1"/>
    <col min="7177" max="7177" width="9.5703125" bestFit="1" customWidth="1"/>
    <col min="7178" max="7178" width="10.5703125" bestFit="1" customWidth="1"/>
    <col min="7179" max="7179" width="11.5703125" bestFit="1" customWidth="1"/>
    <col min="7428" max="7428" width="9.5703125" bestFit="1" customWidth="1"/>
    <col min="7429" max="7429" width="12.140625" bestFit="1" customWidth="1"/>
    <col min="7430" max="7430" width="12.42578125" bestFit="1" customWidth="1"/>
    <col min="7431" max="7431" width="12.42578125" customWidth="1"/>
    <col min="7432" max="7432" width="10.5703125" bestFit="1" customWidth="1"/>
    <col min="7433" max="7433" width="9.5703125" bestFit="1" customWidth="1"/>
    <col min="7434" max="7434" width="10.5703125" bestFit="1" customWidth="1"/>
    <col min="7435" max="7435" width="11.5703125" bestFit="1" customWidth="1"/>
    <col min="7684" max="7684" width="9.5703125" bestFit="1" customWidth="1"/>
    <col min="7685" max="7685" width="12.140625" bestFit="1" customWidth="1"/>
    <col min="7686" max="7686" width="12.42578125" bestFit="1" customWidth="1"/>
    <col min="7687" max="7687" width="12.42578125" customWidth="1"/>
    <col min="7688" max="7688" width="10.5703125" bestFit="1" customWidth="1"/>
    <col min="7689" max="7689" width="9.5703125" bestFit="1" customWidth="1"/>
    <col min="7690" max="7690" width="10.5703125" bestFit="1" customWidth="1"/>
    <col min="7691" max="7691" width="11.5703125" bestFit="1" customWidth="1"/>
    <col min="7940" max="7940" width="9.5703125" bestFit="1" customWidth="1"/>
    <col min="7941" max="7941" width="12.140625" bestFit="1" customWidth="1"/>
    <col min="7942" max="7942" width="12.42578125" bestFit="1" customWidth="1"/>
    <col min="7943" max="7943" width="12.42578125" customWidth="1"/>
    <col min="7944" max="7944" width="10.5703125" bestFit="1" customWidth="1"/>
    <col min="7945" max="7945" width="9.5703125" bestFit="1" customWidth="1"/>
    <col min="7946" max="7946" width="10.5703125" bestFit="1" customWidth="1"/>
    <col min="7947" max="7947" width="11.5703125" bestFit="1" customWidth="1"/>
    <col min="8196" max="8196" width="9.5703125" bestFit="1" customWidth="1"/>
    <col min="8197" max="8197" width="12.140625" bestFit="1" customWidth="1"/>
    <col min="8198" max="8198" width="12.42578125" bestFit="1" customWidth="1"/>
    <col min="8199" max="8199" width="12.42578125" customWidth="1"/>
    <col min="8200" max="8200" width="10.5703125" bestFit="1" customWidth="1"/>
    <col min="8201" max="8201" width="9.5703125" bestFit="1" customWidth="1"/>
    <col min="8202" max="8202" width="10.5703125" bestFit="1" customWidth="1"/>
    <col min="8203" max="8203" width="11.5703125" bestFit="1" customWidth="1"/>
    <col min="8452" max="8452" width="9.5703125" bestFit="1" customWidth="1"/>
    <col min="8453" max="8453" width="12.140625" bestFit="1" customWidth="1"/>
    <col min="8454" max="8454" width="12.42578125" bestFit="1" customWidth="1"/>
    <col min="8455" max="8455" width="12.42578125" customWidth="1"/>
    <col min="8456" max="8456" width="10.5703125" bestFit="1" customWidth="1"/>
    <col min="8457" max="8457" width="9.5703125" bestFit="1" customWidth="1"/>
    <col min="8458" max="8458" width="10.5703125" bestFit="1" customWidth="1"/>
    <col min="8459" max="8459" width="11.5703125" bestFit="1" customWidth="1"/>
    <col min="8708" max="8708" width="9.5703125" bestFit="1" customWidth="1"/>
    <col min="8709" max="8709" width="12.140625" bestFit="1" customWidth="1"/>
    <col min="8710" max="8710" width="12.42578125" bestFit="1" customWidth="1"/>
    <col min="8711" max="8711" width="12.42578125" customWidth="1"/>
    <col min="8712" max="8712" width="10.5703125" bestFit="1" customWidth="1"/>
    <col min="8713" max="8713" width="9.5703125" bestFit="1" customWidth="1"/>
    <col min="8714" max="8714" width="10.5703125" bestFit="1" customWidth="1"/>
    <col min="8715" max="8715" width="11.5703125" bestFit="1" customWidth="1"/>
    <col min="8964" max="8964" width="9.5703125" bestFit="1" customWidth="1"/>
    <col min="8965" max="8965" width="12.140625" bestFit="1" customWidth="1"/>
    <col min="8966" max="8966" width="12.42578125" bestFit="1" customWidth="1"/>
    <col min="8967" max="8967" width="12.42578125" customWidth="1"/>
    <col min="8968" max="8968" width="10.5703125" bestFit="1" customWidth="1"/>
    <col min="8969" max="8969" width="9.5703125" bestFit="1" customWidth="1"/>
    <col min="8970" max="8970" width="10.5703125" bestFit="1" customWidth="1"/>
    <col min="8971" max="8971" width="11.5703125" bestFit="1" customWidth="1"/>
    <col min="9220" max="9220" width="9.5703125" bestFit="1" customWidth="1"/>
    <col min="9221" max="9221" width="12.140625" bestFit="1" customWidth="1"/>
    <col min="9222" max="9222" width="12.42578125" bestFit="1" customWidth="1"/>
    <col min="9223" max="9223" width="12.42578125" customWidth="1"/>
    <col min="9224" max="9224" width="10.5703125" bestFit="1" customWidth="1"/>
    <col min="9225" max="9225" width="9.5703125" bestFit="1" customWidth="1"/>
    <col min="9226" max="9226" width="10.5703125" bestFit="1" customWidth="1"/>
    <col min="9227" max="9227" width="11.5703125" bestFit="1" customWidth="1"/>
    <col min="9476" max="9476" width="9.5703125" bestFit="1" customWidth="1"/>
    <col min="9477" max="9477" width="12.140625" bestFit="1" customWidth="1"/>
    <col min="9478" max="9478" width="12.42578125" bestFit="1" customWidth="1"/>
    <col min="9479" max="9479" width="12.42578125" customWidth="1"/>
    <col min="9480" max="9480" width="10.5703125" bestFit="1" customWidth="1"/>
    <col min="9481" max="9481" width="9.5703125" bestFit="1" customWidth="1"/>
    <col min="9482" max="9482" width="10.5703125" bestFit="1" customWidth="1"/>
    <col min="9483" max="9483" width="11.5703125" bestFit="1" customWidth="1"/>
    <col min="9732" max="9732" width="9.5703125" bestFit="1" customWidth="1"/>
    <col min="9733" max="9733" width="12.140625" bestFit="1" customWidth="1"/>
    <col min="9734" max="9734" width="12.42578125" bestFit="1" customWidth="1"/>
    <col min="9735" max="9735" width="12.42578125" customWidth="1"/>
    <col min="9736" max="9736" width="10.5703125" bestFit="1" customWidth="1"/>
    <col min="9737" max="9737" width="9.5703125" bestFit="1" customWidth="1"/>
    <col min="9738" max="9738" width="10.5703125" bestFit="1" customWidth="1"/>
    <col min="9739" max="9739" width="11.5703125" bestFit="1" customWidth="1"/>
    <col min="9988" max="9988" width="9.5703125" bestFit="1" customWidth="1"/>
    <col min="9989" max="9989" width="12.140625" bestFit="1" customWidth="1"/>
    <col min="9990" max="9990" width="12.42578125" bestFit="1" customWidth="1"/>
    <col min="9991" max="9991" width="12.42578125" customWidth="1"/>
    <col min="9992" max="9992" width="10.5703125" bestFit="1" customWidth="1"/>
    <col min="9993" max="9993" width="9.5703125" bestFit="1" customWidth="1"/>
    <col min="9994" max="9994" width="10.5703125" bestFit="1" customWidth="1"/>
    <col min="9995" max="9995" width="11.5703125" bestFit="1" customWidth="1"/>
    <col min="10244" max="10244" width="9.5703125" bestFit="1" customWidth="1"/>
    <col min="10245" max="10245" width="12.140625" bestFit="1" customWidth="1"/>
    <col min="10246" max="10246" width="12.42578125" bestFit="1" customWidth="1"/>
    <col min="10247" max="10247" width="12.42578125" customWidth="1"/>
    <col min="10248" max="10248" width="10.5703125" bestFit="1" customWidth="1"/>
    <col min="10249" max="10249" width="9.5703125" bestFit="1" customWidth="1"/>
    <col min="10250" max="10250" width="10.5703125" bestFit="1" customWidth="1"/>
    <col min="10251" max="10251" width="11.5703125" bestFit="1" customWidth="1"/>
    <col min="10500" max="10500" width="9.5703125" bestFit="1" customWidth="1"/>
    <col min="10501" max="10501" width="12.140625" bestFit="1" customWidth="1"/>
    <col min="10502" max="10502" width="12.42578125" bestFit="1" customWidth="1"/>
    <col min="10503" max="10503" width="12.42578125" customWidth="1"/>
    <col min="10504" max="10504" width="10.5703125" bestFit="1" customWidth="1"/>
    <col min="10505" max="10505" width="9.5703125" bestFit="1" customWidth="1"/>
    <col min="10506" max="10506" width="10.5703125" bestFit="1" customWidth="1"/>
    <col min="10507" max="10507" width="11.5703125" bestFit="1" customWidth="1"/>
    <col min="10756" max="10756" width="9.5703125" bestFit="1" customWidth="1"/>
    <col min="10757" max="10757" width="12.140625" bestFit="1" customWidth="1"/>
    <col min="10758" max="10758" width="12.42578125" bestFit="1" customWidth="1"/>
    <col min="10759" max="10759" width="12.42578125" customWidth="1"/>
    <col min="10760" max="10760" width="10.5703125" bestFit="1" customWidth="1"/>
    <col min="10761" max="10761" width="9.5703125" bestFit="1" customWidth="1"/>
    <col min="10762" max="10762" width="10.5703125" bestFit="1" customWidth="1"/>
    <col min="10763" max="10763" width="11.5703125" bestFit="1" customWidth="1"/>
    <col min="11012" max="11012" width="9.5703125" bestFit="1" customWidth="1"/>
    <col min="11013" max="11013" width="12.140625" bestFit="1" customWidth="1"/>
    <col min="11014" max="11014" width="12.42578125" bestFit="1" customWidth="1"/>
    <col min="11015" max="11015" width="12.42578125" customWidth="1"/>
    <col min="11016" max="11016" width="10.5703125" bestFit="1" customWidth="1"/>
    <col min="11017" max="11017" width="9.5703125" bestFit="1" customWidth="1"/>
    <col min="11018" max="11018" width="10.5703125" bestFit="1" customWidth="1"/>
    <col min="11019" max="11019" width="11.5703125" bestFit="1" customWidth="1"/>
    <col min="11268" max="11268" width="9.5703125" bestFit="1" customWidth="1"/>
    <col min="11269" max="11269" width="12.140625" bestFit="1" customWidth="1"/>
    <col min="11270" max="11270" width="12.42578125" bestFit="1" customWidth="1"/>
    <col min="11271" max="11271" width="12.42578125" customWidth="1"/>
    <col min="11272" max="11272" width="10.5703125" bestFit="1" customWidth="1"/>
    <col min="11273" max="11273" width="9.5703125" bestFit="1" customWidth="1"/>
    <col min="11274" max="11274" width="10.5703125" bestFit="1" customWidth="1"/>
    <col min="11275" max="11275" width="11.5703125" bestFit="1" customWidth="1"/>
    <col min="11524" max="11524" width="9.5703125" bestFit="1" customWidth="1"/>
    <col min="11525" max="11525" width="12.140625" bestFit="1" customWidth="1"/>
    <col min="11526" max="11526" width="12.42578125" bestFit="1" customWidth="1"/>
    <col min="11527" max="11527" width="12.42578125" customWidth="1"/>
    <col min="11528" max="11528" width="10.5703125" bestFit="1" customWidth="1"/>
    <col min="11529" max="11529" width="9.5703125" bestFit="1" customWidth="1"/>
    <col min="11530" max="11530" width="10.5703125" bestFit="1" customWidth="1"/>
    <col min="11531" max="11531" width="11.5703125" bestFit="1" customWidth="1"/>
    <col min="11780" max="11780" width="9.5703125" bestFit="1" customWidth="1"/>
    <col min="11781" max="11781" width="12.140625" bestFit="1" customWidth="1"/>
    <col min="11782" max="11782" width="12.42578125" bestFit="1" customWidth="1"/>
    <col min="11783" max="11783" width="12.42578125" customWidth="1"/>
    <col min="11784" max="11784" width="10.5703125" bestFit="1" customWidth="1"/>
    <col min="11785" max="11785" width="9.5703125" bestFit="1" customWidth="1"/>
    <col min="11786" max="11786" width="10.5703125" bestFit="1" customWidth="1"/>
    <col min="11787" max="11787" width="11.5703125" bestFit="1" customWidth="1"/>
    <col min="12036" max="12036" width="9.5703125" bestFit="1" customWidth="1"/>
    <col min="12037" max="12037" width="12.140625" bestFit="1" customWidth="1"/>
    <col min="12038" max="12038" width="12.42578125" bestFit="1" customWidth="1"/>
    <col min="12039" max="12039" width="12.42578125" customWidth="1"/>
    <col min="12040" max="12040" width="10.5703125" bestFit="1" customWidth="1"/>
    <col min="12041" max="12041" width="9.5703125" bestFit="1" customWidth="1"/>
    <col min="12042" max="12042" width="10.5703125" bestFit="1" customWidth="1"/>
    <col min="12043" max="12043" width="11.5703125" bestFit="1" customWidth="1"/>
    <col min="12292" max="12292" width="9.5703125" bestFit="1" customWidth="1"/>
    <col min="12293" max="12293" width="12.140625" bestFit="1" customWidth="1"/>
    <col min="12294" max="12294" width="12.42578125" bestFit="1" customWidth="1"/>
    <col min="12295" max="12295" width="12.42578125" customWidth="1"/>
    <col min="12296" max="12296" width="10.5703125" bestFit="1" customWidth="1"/>
    <col min="12297" max="12297" width="9.5703125" bestFit="1" customWidth="1"/>
    <col min="12298" max="12298" width="10.5703125" bestFit="1" customWidth="1"/>
    <col min="12299" max="12299" width="11.5703125" bestFit="1" customWidth="1"/>
    <col min="12548" max="12548" width="9.5703125" bestFit="1" customWidth="1"/>
    <col min="12549" max="12549" width="12.140625" bestFit="1" customWidth="1"/>
    <col min="12550" max="12550" width="12.42578125" bestFit="1" customWidth="1"/>
    <col min="12551" max="12551" width="12.42578125" customWidth="1"/>
    <col min="12552" max="12552" width="10.5703125" bestFit="1" customWidth="1"/>
    <col min="12553" max="12553" width="9.5703125" bestFit="1" customWidth="1"/>
    <col min="12554" max="12554" width="10.5703125" bestFit="1" customWidth="1"/>
    <col min="12555" max="12555" width="11.5703125" bestFit="1" customWidth="1"/>
    <col min="12804" max="12804" width="9.5703125" bestFit="1" customWidth="1"/>
    <col min="12805" max="12805" width="12.140625" bestFit="1" customWidth="1"/>
    <col min="12806" max="12806" width="12.42578125" bestFit="1" customWidth="1"/>
    <col min="12807" max="12807" width="12.42578125" customWidth="1"/>
    <col min="12808" max="12808" width="10.5703125" bestFit="1" customWidth="1"/>
    <col min="12809" max="12809" width="9.5703125" bestFit="1" customWidth="1"/>
    <col min="12810" max="12810" width="10.5703125" bestFit="1" customWidth="1"/>
    <col min="12811" max="12811" width="11.5703125" bestFit="1" customWidth="1"/>
    <col min="13060" max="13060" width="9.5703125" bestFit="1" customWidth="1"/>
    <col min="13061" max="13061" width="12.140625" bestFit="1" customWidth="1"/>
    <col min="13062" max="13062" width="12.42578125" bestFit="1" customWidth="1"/>
    <col min="13063" max="13063" width="12.42578125" customWidth="1"/>
    <col min="13064" max="13064" width="10.5703125" bestFit="1" customWidth="1"/>
    <col min="13065" max="13065" width="9.5703125" bestFit="1" customWidth="1"/>
    <col min="13066" max="13066" width="10.5703125" bestFit="1" customWidth="1"/>
    <col min="13067" max="13067" width="11.5703125" bestFit="1" customWidth="1"/>
    <col min="13316" max="13316" width="9.5703125" bestFit="1" customWidth="1"/>
    <col min="13317" max="13317" width="12.140625" bestFit="1" customWidth="1"/>
    <col min="13318" max="13318" width="12.42578125" bestFit="1" customWidth="1"/>
    <col min="13319" max="13319" width="12.42578125" customWidth="1"/>
    <col min="13320" max="13320" width="10.5703125" bestFit="1" customWidth="1"/>
    <col min="13321" max="13321" width="9.5703125" bestFit="1" customWidth="1"/>
    <col min="13322" max="13322" width="10.5703125" bestFit="1" customWidth="1"/>
    <col min="13323" max="13323" width="11.5703125" bestFit="1" customWidth="1"/>
    <col min="13572" max="13572" width="9.5703125" bestFit="1" customWidth="1"/>
    <col min="13573" max="13573" width="12.140625" bestFit="1" customWidth="1"/>
    <col min="13574" max="13574" width="12.42578125" bestFit="1" customWidth="1"/>
    <col min="13575" max="13575" width="12.42578125" customWidth="1"/>
    <col min="13576" max="13576" width="10.5703125" bestFit="1" customWidth="1"/>
    <col min="13577" max="13577" width="9.5703125" bestFit="1" customWidth="1"/>
    <col min="13578" max="13578" width="10.5703125" bestFit="1" customWidth="1"/>
    <col min="13579" max="13579" width="11.5703125" bestFit="1" customWidth="1"/>
    <col min="13828" max="13828" width="9.5703125" bestFit="1" customWidth="1"/>
    <col min="13829" max="13829" width="12.140625" bestFit="1" customWidth="1"/>
    <col min="13830" max="13830" width="12.42578125" bestFit="1" customWidth="1"/>
    <col min="13831" max="13831" width="12.42578125" customWidth="1"/>
    <col min="13832" max="13832" width="10.5703125" bestFit="1" customWidth="1"/>
    <col min="13833" max="13833" width="9.5703125" bestFit="1" customWidth="1"/>
    <col min="13834" max="13834" width="10.5703125" bestFit="1" customWidth="1"/>
    <col min="13835" max="13835" width="11.5703125" bestFit="1" customWidth="1"/>
    <col min="14084" max="14084" width="9.5703125" bestFit="1" customWidth="1"/>
    <col min="14085" max="14085" width="12.140625" bestFit="1" customWidth="1"/>
    <col min="14086" max="14086" width="12.42578125" bestFit="1" customWidth="1"/>
    <col min="14087" max="14087" width="12.42578125" customWidth="1"/>
    <col min="14088" max="14088" width="10.5703125" bestFit="1" customWidth="1"/>
    <col min="14089" max="14089" width="9.5703125" bestFit="1" customWidth="1"/>
    <col min="14090" max="14090" width="10.5703125" bestFit="1" customWidth="1"/>
    <col min="14091" max="14091" width="11.5703125" bestFit="1" customWidth="1"/>
    <col min="14340" max="14340" width="9.5703125" bestFit="1" customWidth="1"/>
    <col min="14341" max="14341" width="12.140625" bestFit="1" customWidth="1"/>
    <col min="14342" max="14342" width="12.42578125" bestFit="1" customWidth="1"/>
    <col min="14343" max="14343" width="12.42578125" customWidth="1"/>
    <col min="14344" max="14344" width="10.5703125" bestFit="1" customWidth="1"/>
    <col min="14345" max="14345" width="9.5703125" bestFit="1" customWidth="1"/>
    <col min="14346" max="14346" width="10.5703125" bestFit="1" customWidth="1"/>
    <col min="14347" max="14347" width="11.5703125" bestFit="1" customWidth="1"/>
    <col min="14596" max="14596" width="9.5703125" bestFit="1" customWidth="1"/>
    <col min="14597" max="14597" width="12.140625" bestFit="1" customWidth="1"/>
    <col min="14598" max="14598" width="12.42578125" bestFit="1" customWidth="1"/>
    <col min="14599" max="14599" width="12.42578125" customWidth="1"/>
    <col min="14600" max="14600" width="10.5703125" bestFit="1" customWidth="1"/>
    <col min="14601" max="14601" width="9.5703125" bestFit="1" customWidth="1"/>
    <col min="14602" max="14602" width="10.5703125" bestFit="1" customWidth="1"/>
    <col min="14603" max="14603" width="11.5703125" bestFit="1" customWidth="1"/>
    <col min="14852" max="14852" width="9.5703125" bestFit="1" customWidth="1"/>
    <col min="14853" max="14853" width="12.140625" bestFit="1" customWidth="1"/>
    <col min="14854" max="14854" width="12.42578125" bestFit="1" customWidth="1"/>
    <col min="14855" max="14855" width="12.42578125" customWidth="1"/>
    <col min="14856" max="14856" width="10.5703125" bestFit="1" customWidth="1"/>
    <col min="14857" max="14857" width="9.5703125" bestFit="1" customWidth="1"/>
    <col min="14858" max="14858" width="10.5703125" bestFit="1" customWidth="1"/>
    <col min="14859" max="14859" width="11.5703125" bestFit="1" customWidth="1"/>
    <col min="15108" max="15108" width="9.5703125" bestFit="1" customWidth="1"/>
    <col min="15109" max="15109" width="12.140625" bestFit="1" customWidth="1"/>
    <col min="15110" max="15110" width="12.42578125" bestFit="1" customWidth="1"/>
    <col min="15111" max="15111" width="12.42578125" customWidth="1"/>
    <col min="15112" max="15112" width="10.5703125" bestFit="1" customWidth="1"/>
    <col min="15113" max="15113" width="9.5703125" bestFit="1" customWidth="1"/>
    <col min="15114" max="15114" width="10.5703125" bestFit="1" customWidth="1"/>
    <col min="15115" max="15115" width="11.5703125" bestFit="1" customWidth="1"/>
    <col min="15364" max="15364" width="9.5703125" bestFit="1" customWidth="1"/>
    <col min="15365" max="15365" width="12.140625" bestFit="1" customWidth="1"/>
    <col min="15366" max="15366" width="12.42578125" bestFit="1" customWidth="1"/>
    <col min="15367" max="15367" width="12.42578125" customWidth="1"/>
    <col min="15368" max="15368" width="10.5703125" bestFit="1" customWidth="1"/>
    <col min="15369" max="15369" width="9.5703125" bestFit="1" customWidth="1"/>
    <col min="15370" max="15370" width="10.5703125" bestFit="1" customWidth="1"/>
    <col min="15371" max="15371" width="11.5703125" bestFit="1" customWidth="1"/>
    <col min="15620" max="15620" width="9.5703125" bestFit="1" customWidth="1"/>
    <col min="15621" max="15621" width="12.140625" bestFit="1" customWidth="1"/>
    <col min="15622" max="15622" width="12.42578125" bestFit="1" customWidth="1"/>
    <col min="15623" max="15623" width="12.42578125" customWidth="1"/>
    <col min="15624" max="15624" width="10.5703125" bestFit="1" customWidth="1"/>
    <col min="15625" max="15625" width="9.5703125" bestFit="1" customWidth="1"/>
    <col min="15626" max="15626" width="10.5703125" bestFit="1" customWidth="1"/>
    <col min="15627" max="15627" width="11.5703125" bestFit="1" customWidth="1"/>
    <col min="15876" max="15876" width="9.5703125" bestFit="1" customWidth="1"/>
    <col min="15877" max="15877" width="12.140625" bestFit="1" customWidth="1"/>
    <col min="15878" max="15878" width="12.42578125" bestFit="1" customWidth="1"/>
    <col min="15879" max="15879" width="12.42578125" customWidth="1"/>
    <col min="15880" max="15880" width="10.5703125" bestFit="1" customWidth="1"/>
    <col min="15881" max="15881" width="9.5703125" bestFit="1" customWidth="1"/>
    <col min="15882" max="15882" width="10.5703125" bestFit="1" customWidth="1"/>
    <col min="15883" max="15883" width="11.5703125" bestFit="1" customWidth="1"/>
    <col min="16132" max="16132" width="9.5703125" bestFit="1" customWidth="1"/>
    <col min="16133" max="16133" width="12.140625" bestFit="1" customWidth="1"/>
    <col min="16134" max="16134" width="12.42578125" bestFit="1" customWidth="1"/>
    <col min="16135" max="16135" width="12.42578125" customWidth="1"/>
    <col min="16136" max="16136" width="10.5703125" bestFit="1" customWidth="1"/>
    <col min="16137" max="16137" width="9.5703125" bestFit="1" customWidth="1"/>
    <col min="16138" max="16138" width="10.5703125" bestFit="1" customWidth="1"/>
    <col min="16139" max="16139" width="11.5703125" bestFit="1" customWidth="1"/>
  </cols>
  <sheetData>
    <row r="1" spans="2:33" x14ac:dyDescent="0.25">
      <c r="N1" t="s">
        <v>255</v>
      </c>
    </row>
    <row r="2" spans="2:33" ht="45" x14ac:dyDescent="0.25">
      <c r="F2" s="1" t="s">
        <v>195</v>
      </c>
      <c r="G2" s="1" t="s">
        <v>195</v>
      </c>
      <c r="H2" s="1" t="s">
        <v>194</v>
      </c>
      <c r="I2" s="1" t="s">
        <v>193</v>
      </c>
      <c r="J2" s="1" t="s">
        <v>192</v>
      </c>
      <c r="K2" s="1" t="s">
        <v>43</v>
      </c>
      <c r="N2" s="1" t="s">
        <v>25</v>
      </c>
      <c r="O2" s="1" t="s">
        <v>190</v>
      </c>
      <c r="P2" s="66" t="s">
        <v>28</v>
      </c>
      <c r="Q2" s="66" t="s">
        <v>29</v>
      </c>
      <c r="R2" t="s">
        <v>191</v>
      </c>
      <c r="V2" s="1"/>
      <c r="W2" s="1"/>
      <c r="X2" s="66"/>
      <c r="Y2" s="66"/>
      <c r="AD2" s="1"/>
      <c r="AE2" s="1"/>
      <c r="AF2" s="66"/>
      <c r="AG2" s="66"/>
    </row>
    <row r="3" spans="2:33" x14ac:dyDescent="0.25">
      <c r="B3" s="69" t="s">
        <v>189</v>
      </c>
      <c r="C3" s="69" t="s">
        <v>188</v>
      </c>
      <c r="D3" s="69" t="s">
        <v>187</v>
      </c>
      <c r="E3" s="69" t="s">
        <v>186</v>
      </c>
      <c r="F3" s="68" t="s">
        <v>256</v>
      </c>
      <c r="G3" s="68" t="s">
        <v>257</v>
      </c>
      <c r="H3" s="68" t="s">
        <v>185</v>
      </c>
      <c r="I3" s="68" t="s">
        <v>185</v>
      </c>
      <c r="J3" s="68" t="s">
        <v>185</v>
      </c>
      <c r="K3" s="68" t="s">
        <v>185</v>
      </c>
      <c r="M3" s="67"/>
      <c r="N3" s="66" t="s">
        <v>184</v>
      </c>
      <c r="P3" s="48"/>
      <c r="Q3" s="48"/>
      <c r="U3" s="67"/>
      <c r="V3" s="66"/>
      <c r="X3" s="48"/>
      <c r="Y3" s="48"/>
      <c r="AC3" s="67"/>
      <c r="AD3" s="66"/>
      <c r="AF3" s="48"/>
      <c r="AG3" s="48"/>
    </row>
    <row r="4" spans="2:33" x14ac:dyDescent="0.25">
      <c r="B4" t="str">
        <f t="shared" ref="B4:B67" si="0">RIGHT(C4,1)</f>
        <v>a</v>
      </c>
      <c r="C4" t="s">
        <v>183</v>
      </c>
      <c r="D4">
        <v>9128822</v>
      </c>
      <c r="E4">
        <v>357607</v>
      </c>
      <c r="F4" s="33">
        <v>65.662448087227403</v>
      </c>
      <c r="G4" s="48">
        <v>16.278938946914835</v>
      </c>
      <c r="H4" s="48">
        <v>4.1827886152456912</v>
      </c>
      <c r="I4" s="48">
        <v>0.75896416224554142</v>
      </c>
      <c r="J4" s="48">
        <f t="shared" ref="J4:J67" si="1">H4+I4</f>
        <v>4.9417527774912324</v>
      </c>
      <c r="K4" s="48">
        <f>F4+G4+J4</f>
        <v>86.88313981163347</v>
      </c>
      <c r="M4" s="48"/>
      <c r="N4" s="33">
        <v>86.88313981163347</v>
      </c>
      <c r="O4" s="33">
        <v>133.10410683702145</v>
      </c>
      <c r="P4" s="33">
        <v>98.410465809610585</v>
      </c>
      <c r="Q4" s="33">
        <v>115.04623789150305</v>
      </c>
      <c r="U4" s="48"/>
      <c r="V4" s="48"/>
      <c r="W4" s="48"/>
      <c r="X4" s="48"/>
      <c r="Y4" s="48"/>
      <c r="AC4" s="48"/>
      <c r="AD4" s="48"/>
      <c r="AE4" s="48"/>
      <c r="AF4" s="48"/>
      <c r="AG4" s="48"/>
    </row>
    <row r="5" spans="2:33" x14ac:dyDescent="0.25">
      <c r="B5" t="str">
        <f t="shared" si="0"/>
        <v>a</v>
      </c>
      <c r="C5" t="s">
        <v>182</v>
      </c>
      <c r="D5">
        <v>9253491</v>
      </c>
      <c r="E5">
        <v>397776</v>
      </c>
      <c r="F5" s="33">
        <v>72.935949146691172</v>
      </c>
      <c r="G5" s="48">
        <v>17.942148417404738</v>
      </c>
      <c r="H5" s="48">
        <v>3.3181778086521403</v>
      </c>
      <c r="I5" s="48">
        <v>1.1010430583727326</v>
      </c>
      <c r="J5" s="48">
        <f t="shared" si="1"/>
        <v>4.4192208670248725</v>
      </c>
      <c r="K5" s="48">
        <f t="shared" ref="K5:K67" si="2">F5+G5+J5</f>
        <v>95.297318431120786</v>
      </c>
      <c r="N5" s="33">
        <v>95.297318431120786</v>
      </c>
      <c r="O5" s="33">
        <v>88.912147090421968</v>
      </c>
      <c r="P5" s="33">
        <v>131.47791060410879</v>
      </c>
      <c r="Q5" s="33">
        <v>175.88062386321539</v>
      </c>
      <c r="V5" s="48"/>
      <c r="W5" s="48"/>
      <c r="X5" s="48"/>
      <c r="Y5" s="48"/>
      <c r="AD5" s="48"/>
      <c r="AE5" s="48"/>
      <c r="AF5" s="48"/>
      <c r="AG5" s="48"/>
    </row>
    <row r="6" spans="2:33" x14ac:dyDescent="0.25">
      <c r="B6" t="str">
        <f t="shared" si="0"/>
        <v>a</v>
      </c>
      <c r="C6" t="s">
        <v>181</v>
      </c>
      <c r="D6">
        <v>9153581</v>
      </c>
      <c r="E6">
        <v>401520</v>
      </c>
      <c r="F6" s="33">
        <v>87.635668265890743</v>
      </c>
      <c r="G6" s="48">
        <v>21.267331620453959</v>
      </c>
      <c r="H6" s="48">
        <v>1.7459495153272448</v>
      </c>
      <c r="I6" s="48">
        <v>1.5496161562282906</v>
      </c>
      <c r="J6" s="48">
        <f t="shared" si="1"/>
        <v>3.2955656715555355</v>
      </c>
      <c r="K6" s="48">
        <f t="shared" si="2"/>
        <v>112.19856555790024</v>
      </c>
      <c r="N6" s="33">
        <v>112.19856555790024</v>
      </c>
      <c r="O6" s="33">
        <v>97.564424533630742</v>
      </c>
      <c r="P6" s="33">
        <v>116.8485691634243</v>
      </c>
      <c r="Q6" s="33">
        <v>261.47424799771665</v>
      </c>
      <c r="V6" s="48"/>
      <c r="W6" s="48"/>
      <c r="X6" s="48"/>
      <c r="Y6" s="48"/>
      <c r="AD6" s="48"/>
      <c r="AE6" s="48"/>
      <c r="AF6" s="48"/>
      <c r="AG6" s="48"/>
    </row>
    <row r="7" spans="2:33" x14ac:dyDescent="0.25">
      <c r="B7" t="str">
        <f t="shared" si="0"/>
        <v>a</v>
      </c>
      <c r="C7" t="s">
        <v>180</v>
      </c>
      <c r="D7">
        <v>9135872</v>
      </c>
      <c r="E7">
        <v>354243</v>
      </c>
      <c r="F7" s="33">
        <v>35.770505724724899</v>
      </c>
      <c r="G7" s="48">
        <v>9.2758712393479499</v>
      </c>
      <c r="H7" s="48">
        <v>8.2121199164177732</v>
      </c>
      <c r="I7" s="48">
        <v>0</v>
      </c>
      <c r="J7" s="48">
        <f t="shared" si="1"/>
        <v>8.2121199164177732</v>
      </c>
      <c r="K7" s="48">
        <f t="shared" si="2"/>
        <v>53.258496880490625</v>
      </c>
      <c r="N7" s="33">
        <v>53.258496880490625</v>
      </c>
      <c r="O7" s="33">
        <v>164.50183697152991</v>
      </c>
      <c r="P7" s="33">
        <v>78.652245382166583</v>
      </c>
      <c r="Q7" s="33">
        <v>178.25558004158009</v>
      </c>
      <c r="V7" s="48"/>
      <c r="W7" s="48"/>
      <c r="X7" s="48"/>
      <c r="Y7" s="48"/>
      <c r="AD7" s="48"/>
      <c r="AE7" s="48"/>
      <c r="AF7" s="48"/>
      <c r="AG7" s="48"/>
    </row>
    <row r="8" spans="2:33" x14ac:dyDescent="0.25">
      <c r="B8" t="str">
        <f t="shared" si="0"/>
        <v>a</v>
      </c>
      <c r="C8" t="s">
        <v>179</v>
      </c>
      <c r="D8">
        <v>9251654</v>
      </c>
      <c r="E8">
        <v>399320</v>
      </c>
      <c r="F8" s="33">
        <v>38.553056486282841</v>
      </c>
      <c r="G8" s="48">
        <v>9.9421646123051914</v>
      </c>
      <c r="H8" s="48">
        <v>17.467696928850945</v>
      </c>
      <c r="I8" s="48">
        <v>0.97870494077576287</v>
      </c>
      <c r="J8" s="48">
        <f t="shared" si="1"/>
        <v>18.446401869626708</v>
      </c>
      <c r="K8" s="48">
        <f t="shared" si="2"/>
        <v>66.941622968214745</v>
      </c>
      <c r="N8" s="33">
        <v>66.941622968214745</v>
      </c>
      <c r="O8" s="33">
        <v>123.13527301588549</v>
      </c>
      <c r="P8" s="33">
        <v>83.455811359199842</v>
      </c>
      <c r="Q8" s="33">
        <v>215.86551861046692</v>
      </c>
      <c r="V8" s="48"/>
      <c r="W8" s="48"/>
      <c r="X8" s="48"/>
      <c r="Y8" s="48"/>
      <c r="AD8" s="48"/>
      <c r="AE8" s="48"/>
      <c r="AF8" s="48"/>
      <c r="AG8" s="48"/>
    </row>
    <row r="9" spans="2:33" x14ac:dyDescent="0.25">
      <c r="B9" t="str">
        <f t="shared" si="0"/>
        <v>a</v>
      </c>
      <c r="C9" t="s">
        <v>178</v>
      </c>
      <c r="D9">
        <v>9089403</v>
      </c>
      <c r="E9">
        <v>427114</v>
      </c>
      <c r="F9" s="33">
        <v>49.231969685366629</v>
      </c>
      <c r="G9" s="48">
        <v>12.468419479382042</v>
      </c>
      <c r="H9" s="48">
        <v>6.4920253022541896</v>
      </c>
      <c r="I9" s="48">
        <v>0.32623498025858749</v>
      </c>
      <c r="J9" s="48">
        <f t="shared" si="1"/>
        <v>6.8182602825127772</v>
      </c>
      <c r="K9" s="48">
        <f t="shared" si="2"/>
        <v>68.518649447261453</v>
      </c>
      <c r="N9" s="33">
        <v>68.518649447261453</v>
      </c>
      <c r="O9" s="33">
        <v>167.01202878681957</v>
      </c>
      <c r="P9" s="48"/>
      <c r="Q9" s="33">
        <v>199.59224788224202</v>
      </c>
      <c r="V9" s="48"/>
      <c r="W9" s="48"/>
      <c r="X9" s="48"/>
      <c r="Y9" s="48"/>
      <c r="AD9" s="48"/>
      <c r="AE9" s="48"/>
      <c r="AF9" s="48"/>
      <c r="AG9" s="48"/>
    </row>
    <row r="10" spans="2:33" x14ac:dyDescent="0.25">
      <c r="B10" t="str">
        <f t="shared" si="0"/>
        <v>c</v>
      </c>
      <c r="C10" t="s">
        <v>177</v>
      </c>
      <c r="D10">
        <v>9169239</v>
      </c>
      <c r="E10">
        <v>388994</v>
      </c>
      <c r="F10" s="33">
        <v>103.95097361808162</v>
      </c>
      <c r="G10" s="48">
        <v>24.910000424620776</v>
      </c>
      <c r="H10" s="48">
        <v>4.2431327943190489</v>
      </c>
      <c r="I10" s="48">
        <v>0</v>
      </c>
      <c r="J10" s="48">
        <f t="shared" si="1"/>
        <v>4.2431327943190489</v>
      </c>
      <c r="K10" s="48">
        <f t="shared" si="2"/>
        <v>133.10410683702145</v>
      </c>
      <c r="N10" s="48"/>
      <c r="O10" s="33">
        <v>139.49485595539232</v>
      </c>
      <c r="P10" s="48"/>
      <c r="Q10" s="33">
        <v>233.88178543529824</v>
      </c>
      <c r="V10" s="48"/>
      <c r="W10" s="48"/>
      <c r="X10" s="48"/>
      <c r="Y10" s="48"/>
      <c r="AD10" s="48"/>
      <c r="AE10" s="48"/>
      <c r="AF10" s="48"/>
      <c r="AG10" s="48"/>
    </row>
    <row r="11" spans="2:33" x14ac:dyDescent="0.25">
      <c r="B11" t="str">
        <f t="shared" si="0"/>
        <v>c</v>
      </c>
      <c r="C11" t="s">
        <v>176</v>
      </c>
      <c r="D11">
        <v>9152906</v>
      </c>
      <c r="E11">
        <v>401507</v>
      </c>
      <c r="F11" s="33">
        <v>66.898031251549142</v>
      </c>
      <c r="G11" s="48">
        <v>16.562398784879989</v>
      </c>
      <c r="H11" s="48">
        <v>2.8418372119241382</v>
      </c>
      <c r="I11" s="48">
        <v>2.6098798420686995</v>
      </c>
      <c r="J11" s="48">
        <f t="shared" si="1"/>
        <v>5.4517170539928372</v>
      </c>
      <c r="K11" s="48">
        <f t="shared" si="2"/>
        <v>88.912147090421968</v>
      </c>
      <c r="N11" s="48"/>
      <c r="O11" s="33">
        <v>100.35859093366513</v>
      </c>
      <c r="P11" s="48"/>
      <c r="Q11" s="33">
        <v>160.24539140041298</v>
      </c>
      <c r="V11" s="48"/>
      <c r="W11" s="48"/>
      <c r="X11" s="48"/>
      <c r="Y11" s="48"/>
      <c r="AD11" s="48"/>
      <c r="AE11" s="48"/>
      <c r="AF11" s="48"/>
      <c r="AG11" s="48"/>
    </row>
    <row r="12" spans="2:33" x14ac:dyDescent="0.25">
      <c r="B12" t="str">
        <f t="shared" si="0"/>
        <v>c</v>
      </c>
      <c r="C12" t="s">
        <v>175</v>
      </c>
      <c r="D12">
        <v>9154258</v>
      </c>
      <c r="E12">
        <v>411849</v>
      </c>
      <c r="F12" s="33">
        <v>76.829557177734912</v>
      </c>
      <c r="G12" s="48">
        <v>18.827372740487391</v>
      </c>
      <c r="H12" s="48">
        <v>1.581259635149848</v>
      </c>
      <c r="I12" s="48">
        <v>0.32623498025858744</v>
      </c>
      <c r="J12" s="48">
        <f t="shared" si="1"/>
        <v>1.9074946154084356</v>
      </c>
      <c r="K12" s="48">
        <f t="shared" si="2"/>
        <v>97.564424533630742</v>
      </c>
      <c r="N12" s="48"/>
      <c r="O12" s="33">
        <v>97.50077501360434</v>
      </c>
      <c r="P12" s="48"/>
      <c r="Q12" s="33">
        <v>198.26785833279473</v>
      </c>
      <c r="V12" s="48"/>
      <c r="W12" s="48"/>
      <c r="X12" s="48"/>
      <c r="Y12" s="48"/>
      <c r="AD12" s="48"/>
      <c r="AE12" s="48"/>
      <c r="AF12" s="48"/>
      <c r="AG12" s="48"/>
    </row>
    <row r="13" spans="2:33" x14ac:dyDescent="0.25">
      <c r="B13" t="str">
        <f t="shared" si="0"/>
        <v>c</v>
      </c>
      <c r="C13" t="s">
        <v>174</v>
      </c>
      <c r="D13">
        <v>9281504</v>
      </c>
      <c r="E13">
        <v>404728</v>
      </c>
      <c r="F13" s="33">
        <v>119.16055471739651</v>
      </c>
      <c r="G13" s="48">
        <v>28.267616922867518</v>
      </c>
      <c r="H13" s="48">
        <v>17.073665331265882</v>
      </c>
      <c r="I13" s="48">
        <v>0</v>
      </c>
      <c r="J13" s="48">
        <f t="shared" si="1"/>
        <v>17.073665331265882</v>
      </c>
      <c r="K13" s="48">
        <f t="shared" si="2"/>
        <v>164.50183697152991</v>
      </c>
      <c r="N13" s="48"/>
      <c r="O13" s="33">
        <v>141.67260313432837</v>
      </c>
      <c r="P13" s="48"/>
      <c r="Q13" s="33">
        <v>173.82567970455847</v>
      </c>
      <c r="V13" s="48"/>
      <c r="W13" s="48"/>
      <c r="X13" s="48"/>
      <c r="Y13" s="48"/>
      <c r="AD13" s="48"/>
      <c r="AE13" s="48"/>
      <c r="AF13" s="48"/>
      <c r="AG13" s="48"/>
    </row>
    <row r="14" spans="2:33" x14ac:dyDescent="0.25">
      <c r="B14" t="str">
        <f t="shared" si="0"/>
        <v>c</v>
      </c>
      <c r="C14" t="s">
        <v>173</v>
      </c>
      <c r="D14">
        <v>9155411</v>
      </c>
      <c r="E14">
        <v>396808</v>
      </c>
      <c r="F14" s="33">
        <v>93.277699112841375</v>
      </c>
      <c r="G14" s="48">
        <v>22.532259945877883</v>
      </c>
      <c r="H14" s="48">
        <v>6.2650502713258263</v>
      </c>
      <c r="I14" s="48">
        <v>1.0602636858404093</v>
      </c>
      <c r="J14" s="48">
        <f t="shared" si="1"/>
        <v>7.3253139571662356</v>
      </c>
      <c r="K14" s="48">
        <f t="shared" si="2"/>
        <v>123.13527301588549</v>
      </c>
      <c r="N14" s="48"/>
      <c r="O14" s="33">
        <v>135.73100247815211</v>
      </c>
      <c r="P14" s="48"/>
      <c r="Q14" s="33">
        <v>126.47342106766727</v>
      </c>
      <c r="V14" s="48"/>
      <c r="W14" s="48"/>
      <c r="X14" s="48"/>
      <c r="Y14" s="48"/>
      <c r="AD14" s="48"/>
      <c r="AE14" s="48"/>
      <c r="AF14" s="48"/>
      <c r="AG14" s="48"/>
    </row>
    <row r="15" spans="2:33" x14ac:dyDescent="0.25">
      <c r="B15" t="str">
        <f t="shared" si="0"/>
        <v>c</v>
      </c>
      <c r="C15" t="s">
        <v>172</v>
      </c>
      <c r="D15" s="65">
        <v>9161230</v>
      </c>
      <c r="E15" s="65">
        <v>368429</v>
      </c>
      <c r="F15" s="33">
        <v>122.97079420193354</v>
      </c>
      <c r="G15" s="48">
        <v>29.103627198950463</v>
      </c>
      <c r="H15" s="48">
        <v>14.937607385935575</v>
      </c>
      <c r="I15" s="48">
        <v>0</v>
      </c>
      <c r="J15" s="48">
        <f t="shared" si="1"/>
        <v>14.937607385935575</v>
      </c>
      <c r="K15" s="48">
        <f t="shared" si="2"/>
        <v>167.01202878681957</v>
      </c>
      <c r="N15" s="48"/>
      <c r="O15" s="33">
        <v>166.76766595085201</v>
      </c>
      <c r="P15" s="48"/>
      <c r="Q15" s="33">
        <v>151.01110420807495</v>
      </c>
      <c r="V15" s="48"/>
      <c r="W15" s="48"/>
      <c r="X15" s="48"/>
      <c r="Y15" s="48"/>
      <c r="AD15" s="48"/>
      <c r="AE15" s="48"/>
      <c r="AF15" s="48"/>
      <c r="AG15" s="48"/>
    </row>
    <row r="16" spans="2:33" x14ac:dyDescent="0.25">
      <c r="B16" t="str">
        <f t="shared" si="0"/>
        <v>c</v>
      </c>
      <c r="C16" t="s">
        <v>171</v>
      </c>
      <c r="D16" s="65">
        <v>9156394.0361899994</v>
      </c>
      <c r="E16" s="65">
        <v>363086.25429999997</v>
      </c>
      <c r="F16" s="33">
        <v>100.5704688975857</v>
      </c>
      <c r="G16" s="48">
        <v>24.158955116620362</v>
      </c>
      <c r="H16" s="48">
        <v>14.765431941186268</v>
      </c>
      <c r="I16" s="48">
        <v>0</v>
      </c>
      <c r="J16" s="48">
        <f t="shared" si="1"/>
        <v>14.765431941186268</v>
      </c>
      <c r="K16" s="48">
        <f t="shared" si="2"/>
        <v>139.49485595539232</v>
      </c>
      <c r="L16" s="64"/>
      <c r="M16" s="64"/>
      <c r="N16" s="48"/>
      <c r="O16" s="33">
        <v>130.44672624658401</v>
      </c>
      <c r="P16" s="48"/>
      <c r="Q16" s="33">
        <v>249.54860164503148</v>
      </c>
      <c r="U16" s="64"/>
      <c r="V16" s="48"/>
      <c r="W16" s="48"/>
      <c r="X16" s="48"/>
      <c r="Y16" s="48"/>
      <c r="AC16" s="64"/>
      <c r="AD16" s="48"/>
      <c r="AE16" s="48"/>
      <c r="AF16" s="48"/>
      <c r="AG16" s="48"/>
    </row>
    <row r="17" spans="2:33" x14ac:dyDescent="0.25">
      <c r="B17" t="str">
        <f t="shared" si="0"/>
        <v>c</v>
      </c>
      <c r="C17" t="s">
        <v>170</v>
      </c>
      <c r="D17">
        <v>9161248</v>
      </c>
      <c r="E17">
        <v>368755</v>
      </c>
      <c r="F17" s="33">
        <v>78.169786308354702</v>
      </c>
      <c r="G17" s="48">
        <v>19.131302178752478</v>
      </c>
      <c r="H17" s="48">
        <v>3.0575024465579537</v>
      </c>
      <c r="I17" s="48">
        <v>0</v>
      </c>
      <c r="J17" s="48">
        <f t="shared" si="1"/>
        <v>3.0575024465579537</v>
      </c>
      <c r="K17" s="48">
        <f t="shared" si="2"/>
        <v>100.35859093366513</v>
      </c>
      <c r="N17" s="48"/>
      <c r="O17" s="33">
        <v>168.40405045216167</v>
      </c>
      <c r="P17" s="48"/>
      <c r="Q17" s="33">
        <v>156.02899744836338</v>
      </c>
      <c r="V17" s="48"/>
      <c r="W17" s="48"/>
      <c r="X17" s="48"/>
      <c r="Y17" s="48"/>
      <c r="AD17" s="48"/>
      <c r="AE17" s="48"/>
      <c r="AF17" s="48"/>
      <c r="AG17" s="48"/>
    </row>
    <row r="18" spans="2:33" x14ac:dyDescent="0.25">
      <c r="B18" t="str">
        <f t="shared" si="0"/>
        <v>c</v>
      </c>
      <c r="C18" t="s">
        <v>169</v>
      </c>
      <c r="D18">
        <v>9139793</v>
      </c>
      <c r="E18">
        <v>330979</v>
      </c>
      <c r="F18" s="33">
        <v>65.562149954413229</v>
      </c>
      <c r="G18" s="48">
        <v>16.255911943976216</v>
      </c>
      <c r="H18" s="48">
        <v>15.682713115214892</v>
      </c>
      <c r="I18" s="48">
        <v>0</v>
      </c>
      <c r="J18" s="48">
        <f t="shared" si="1"/>
        <v>15.682713115214892</v>
      </c>
      <c r="K18" s="48">
        <f t="shared" si="2"/>
        <v>97.50077501360434</v>
      </c>
      <c r="N18" s="48"/>
      <c r="O18" s="33">
        <v>128.3979584770394</v>
      </c>
      <c r="P18" s="48"/>
      <c r="Q18" s="33">
        <v>125.15004654770284</v>
      </c>
      <c r="V18" s="48"/>
      <c r="W18" s="48"/>
      <c r="X18" s="48"/>
      <c r="Y18" s="48"/>
      <c r="AD18" s="48"/>
      <c r="AE18" s="48"/>
      <c r="AF18" s="48"/>
      <c r="AG18" s="48"/>
    </row>
    <row r="19" spans="2:33" x14ac:dyDescent="0.25">
      <c r="B19" t="str">
        <f t="shared" si="0"/>
        <v>c</v>
      </c>
      <c r="C19" t="s">
        <v>168</v>
      </c>
      <c r="D19">
        <v>9234834</v>
      </c>
      <c r="E19">
        <v>458959</v>
      </c>
      <c r="F19" s="33">
        <v>112.42373172786422</v>
      </c>
      <c r="G19" s="48">
        <v>26.784589346115737</v>
      </c>
      <c r="H19" s="48">
        <v>2.1380470800898337</v>
      </c>
      <c r="I19" s="48">
        <v>0.32623498025858744</v>
      </c>
      <c r="J19" s="48">
        <f t="shared" si="1"/>
        <v>2.4642820603484212</v>
      </c>
      <c r="K19" s="48">
        <f t="shared" si="2"/>
        <v>141.67260313432837</v>
      </c>
      <c r="N19" s="48"/>
      <c r="O19" s="33">
        <v>155.25135180261691</v>
      </c>
      <c r="P19" s="48"/>
      <c r="Q19" s="33">
        <v>161.5815550583599</v>
      </c>
      <c r="V19" s="48"/>
      <c r="W19" s="48"/>
      <c r="X19" s="48"/>
      <c r="Y19" s="48"/>
      <c r="AD19" s="48"/>
      <c r="AE19" s="48"/>
      <c r="AF19" s="48"/>
      <c r="AG19" s="48"/>
    </row>
    <row r="20" spans="2:33" x14ac:dyDescent="0.25">
      <c r="B20" t="str">
        <f t="shared" si="0"/>
        <v>c</v>
      </c>
      <c r="C20" t="s">
        <v>167</v>
      </c>
      <c r="D20">
        <v>9161179</v>
      </c>
      <c r="E20">
        <v>368222</v>
      </c>
      <c r="F20" s="33">
        <v>99.517274973591512</v>
      </c>
      <c r="G20" s="48">
        <v>23.924588429150177</v>
      </c>
      <c r="H20" s="48">
        <v>7.816671690749196</v>
      </c>
      <c r="I20" s="48">
        <v>4.4724673846612264</v>
      </c>
      <c r="J20" s="48">
        <f t="shared" si="1"/>
        <v>12.289139075410421</v>
      </c>
      <c r="K20" s="48">
        <f t="shared" si="2"/>
        <v>135.73100247815211</v>
      </c>
      <c r="N20" s="48"/>
      <c r="O20" s="33">
        <v>141.64662040484592</v>
      </c>
      <c r="P20" s="48"/>
      <c r="Q20" s="33">
        <v>120.89561382759366</v>
      </c>
      <c r="V20" s="48"/>
      <c r="W20" s="48"/>
      <c r="X20" s="48"/>
      <c r="Y20" s="48"/>
      <c r="AD20" s="48"/>
      <c r="AE20" s="48"/>
      <c r="AF20" s="48"/>
      <c r="AG20" s="48"/>
    </row>
    <row r="21" spans="2:33" x14ac:dyDescent="0.25">
      <c r="B21" t="str">
        <f t="shared" si="0"/>
        <v>c</v>
      </c>
      <c r="C21" t="s">
        <v>166</v>
      </c>
      <c r="D21">
        <v>9172390</v>
      </c>
      <c r="E21">
        <v>408369</v>
      </c>
      <c r="F21" s="33">
        <v>126.49054172925271</v>
      </c>
      <c r="G21" s="48">
        <v>29.8741972242983</v>
      </c>
      <c r="H21" s="48">
        <v>7.2221359397797773</v>
      </c>
      <c r="I21" s="48">
        <v>3.1807910575212275</v>
      </c>
      <c r="J21" s="48">
        <f t="shared" si="1"/>
        <v>10.402926997301005</v>
      </c>
      <c r="K21" s="48">
        <f t="shared" si="2"/>
        <v>166.76766595085201</v>
      </c>
      <c r="N21" s="48"/>
      <c r="O21" s="33">
        <v>131.72157476723638</v>
      </c>
      <c r="P21" s="48"/>
      <c r="Q21" s="33">
        <v>159.65765890543139</v>
      </c>
      <c r="V21" s="48"/>
      <c r="W21" s="48"/>
      <c r="X21" s="48"/>
      <c r="Y21" s="48"/>
      <c r="AD21" s="48"/>
      <c r="AE21" s="48"/>
      <c r="AF21" s="48"/>
      <c r="AG21" s="48"/>
    </row>
    <row r="22" spans="2:33" x14ac:dyDescent="0.25">
      <c r="B22" t="str">
        <f t="shared" si="0"/>
        <v>c</v>
      </c>
      <c r="C22" t="s">
        <v>165</v>
      </c>
      <c r="D22">
        <v>9235848</v>
      </c>
      <c r="E22">
        <v>459215</v>
      </c>
      <c r="F22" s="33">
        <v>103.13008340654832</v>
      </c>
      <c r="G22" s="48">
        <v>24.7277919915485</v>
      </c>
      <c r="H22" s="48">
        <v>2.5888508484871826</v>
      </c>
      <c r="I22" s="48">
        <v>0</v>
      </c>
      <c r="J22" s="48">
        <f t="shared" si="1"/>
        <v>2.5888508484871826</v>
      </c>
      <c r="K22" s="48">
        <f t="shared" si="2"/>
        <v>130.44672624658401</v>
      </c>
      <c r="N22" s="48"/>
      <c r="O22" s="33">
        <v>170.42622673271714</v>
      </c>
      <c r="P22" s="48"/>
      <c r="Q22" s="33">
        <v>269.69025672235347</v>
      </c>
      <c r="V22" s="48"/>
      <c r="W22" s="48"/>
      <c r="X22" s="48"/>
      <c r="Y22" s="48"/>
      <c r="AD22" s="48"/>
      <c r="AE22" s="48"/>
      <c r="AF22" s="48"/>
      <c r="AG22" s="48"/>
    </row>
    <row r="23" spans="2:33" x14ac:dyDescent="0.25">
      <c r="B23" t="str">
        <f t="shared" si="0"/>
        <v>c</v>
      </c>
      <c r="C23" t="s">
        <v>164</v>
      </c>
      <c r="D23">
        <v>9214833</v>
      </c>
      <c r="E23">
        <v>404431</v>
      </c>
      <c r="F23" s="33">
        <v>127.65175372883547</v>
      </c>
      <c r="G23" s="48">
        <v>30.128068540403405</v>
      </c>
      <c r="H23" s="48">
        <v>7.443437125401573</v>
      </c>
      <c r="I23" s="48">
        <v>3.1807910575212275</v>
      </c>
      <c r="J23" s="48">
        <f t="shared" si="1"/>
        <v>10.624228182922801</v>
      </c>
      <c r="K23" s="48">
        <f t="shared" si="2"/>
        <v>168.40405045216167</v>
      </c>
      <c r="N23" s="48"/>
      <c r="O23" s="33">
        <v>125.62992785464701</v>
      </c>
      <c r="P23" s="48"/>
      <c r="Q23" s="33">
        <v>231.04767644948754</v>
      </c>
      <c r="V23" s="48"/>
      <c r="W23" s="48"/>
      <c r="X23" s="48"/>
      <c r="Y23" s="48"/>
      <c r="AD23" s="48"/>
      <c r="AE23" s="48"/>
      <c r="AF23" s="48"/>
      <c r="AG23" s="48"/>
    </row>
    <row r="24" spans="2:33" x14ac:dyDescent="0.25">
      <c r="B24" t="str">
        <f t="shared" si="0"/>
        <v>c</v>
      </c>
      <c r="C24" t="s">
        <v>163</v>
      </c>
      <c r="D24">
        <v>9216841</v>
      </c>
      <c r="E24">
        <v>398786</v>
      </c>
      <c r="F24" s="33">
        <v>92.511889755482258</v>
      </c>
      <c r="G24" s="48">
        <v>22.360907274977208</v>
      </c>
      <c r="H24" s="48">
        <v>9.6761289094775442</v>
      </c>
      <c r="I24" s="48">
        <v>3.8490325371023886</v>
      </c>
      <c r="J24" s="48">
        <f t="shared" si="1"/>
        <v>13.525161446579933</v>
      </c>
      <c r="K24" s="48">
        <f t="shared" si="2"/>
        <v>128.3979584770394</v>
      </c>
      <c r="N24" s="48"/>
      <c r="O24" s="33">
        <v>104.80266200938139</v>
      </c>
      <c r="P24" s="48"/>
      <c r="Q24" s="48"/>
      <c r="V24" s="48"/>
      <c r="W24" s="48"/>
      <c r="X24" s="48"/>
      <c r="Y24" s="48"/>
      <c r="AD24" s="48"/>
      <c r="AE24" s="48"/>
      <c r="AF24" s="48"/>
      <c r="AG24" s="48"/>
    </row>
    <row r="25" spans="2:33" x14ac:dyDescent="0.25">
      <c r="B25" t="str">
        <f t="shared" si="0"/>
        <v>c</v>
      </c>
      <c r="C25" t="s">
        <v>162</v>
      </c>
      <c r="D25">
        <v>9173098</v>
      </c>
      <c r="E25">
        <v>407937</v>
      </c>
      <c r="F25" s="33">
        <v>117.87245031679285</v>
      </c>
      <c r="G25" s="48">
        <v>27.984547425040461</v>
      </c>
      <c r="H25" s="48">
        <v>6.2135630032623732</v>
      </c>
      <c r="I25" s="48">
        <v>3.1807910575212288</v>
      </c>
      <c r="J25" s="48">
        <f t="shared" si="1"/>
        <v>9.394354060783602</v>
      </c>
      <c r="K25" s="48">
        <f t="shared" si="2"/>
        <v>155.25135180261691</v>
      </c>
      <c r="N25" s="48"/>
      <c r="O25" s="33">
        <v>112.26351615755334</v>
      </c>
      <c r="P25" s="48"/>
      <c r="Q25" s="48"/>
      <c r="V25" s="48"/>
      <c r="W25" s="48"/>
      <c r="X25" s="48"/>
      <c r="Y25" s="48"/>
      <c r="AD25" s="48"/>
      <c r="AE25" s="48"/>
      <c r="AF25" s="48"/>
      <c r="AG25" s="48"/>
    </row>
    <row r="26" spans="2:33" x14ac:dyDescent="0.25">
      <c r="B26" t="str">
        <f t="shared" si="0"/>
        <v>c</v>
      </c>
      <c r="C26" t="s">
        <v>161</v>
      </c>
      <c r="D26">
        <v>9156182</v>
      </c>
      <c r="E26">
        <v>396908</v>
      </c>
      <c r="F26" s="33">
        <v>110.23717483640739</v>
      </c>
      <c r="G26" s="48">
        <v>26.301849246303178</v>
      </c>
      <c r="H26" s="48">
        <v>5.1075963221353522</v>
      </c>
      <c r="I26" s="48">
        <v>0</v>
      </c>
      <c r="J26" s="48">
        <f t="shared" si="1"/>
        <v>5.1075963221353522</v>
      </c>
      <c r="K26" s="48">
        <f t="shared" si="2"/>
        <v>141.64662040484592</v>
      </c>
      <c r="N26" s="48"/>
      <c r="O26" s="33">
        <v>97.44392064246486</v>
      </c>
      <c r="P26" s="48"/>
      <c r="Q26" s="48"/>
      <c r="V26" s="48"/>
      <c r="W26" s="48"/>
      <c r="X26" s="48"/>
      <c r="Y26" s="48"/>
      <c r="AD26" s="48"/>
      <c r="AE26" s="48"/>
      <c r="AF26" s="48"/>
      <c r="AG26" s="48"/>
    </row>
    <row r="27" spans="2:33" x14ac:dyDescent="0.25">
      <c r="B27" t="str">
        <f t="shared" si="0"/>
        <v>c</v>
      </c>
      <c r="C27" t="s">
        <v>160</v>
      </c>
      <c r="D27">
        <v>9168623</v>
      </c>
      <c r="E27">
        <v>386548</v>
      </c>
      <c r="F27" s="33">
        <v>103.01198812499338</v>
      </c>
      <c r="G27" s="48">
        <v>24.70157022719323</v>
      </c>
      <c r="H27" s="48">
        <v>2.7846352390800502</v>
      </c>
      <c r="I27" s="48">
        <v>1.2233811759697031</v>
      </c>
      <c r="J27" s="48">
        <f t="shared" si="1"/>
        <v>4.0080164150497533</v>
      </c>
      <c r="K27" s="48">
        <f t="shared" si="2"/>
        <v>131.72157476723638</v>
      </c>
      <c r="N27" s="48"/>
      <c r="O27" s="33">
        <v>122.84775427946357</v>
      </c>
      <c r="P27" s="48"/>
      <c r="Q27" s="48"/>
      <c r="V27" s="48"/>
      <c r="W27" s="48"/>
      <c r="X27" s="48"/>
      <c r="Y27" s="48"/>
      <c r="AD27" s="48"/>
      <c r="AE27" s="48"/>
      <c r="AF27" s="48"/>
      <c r="AG27" s="48"/>
    </row>
    <row r="28" spans="2:33" x14ac:dyDescent="0.25">
      <c r="B28" t="str">
        <f t="shared" si="0"/>
        <v>c</v>
      </c>
      <c r="C28" t="s">
        <v>159</v>
      </c>
      <c r="D28">
        <v>9216603</v>
      </c>
      <c r="E28">
        <v>405572</v>
      </c>
      <c r="F28" s="33">
        <v>123.46895051836198</v>
      </c>
      <c r="G28" s="48">
        <v>29.21278549879581</v>
      </c>
      <c r="H28" s="48">
        <v>17.418255735300754</v>
      </c>
      <c r="I28" s="48">
        <v>0.32623498025858749</v>
      </c>
      <c r="J28" s="48">
        <f t="shared" si="1"/>
        <v>17.744490715559341</v>
      </c>
      <c r="K28" s="48">
        <f t="shared" si="2"/>
        <v>170.42622673271714</v>
      </c>
      <c r="N28" s="48"/>
      <c r="O28" s="33">
        <v>124.58306050900894</v>
      </c>
      <c r="P28" s="48"/>
      <c r="Q28" s="48"/>
      <c r="V28" s="48"/>
      <c r="W28" s="48"/>
      <c r="X28" s="48"/>
      <c r="Y28" s="48"/>
      <c r="AD28" s="48"/>
      <c r="AE28" s="48"/>
      <c r="AF28" s="48"/>
      <c r="AG28" s="48"/>
    </row>
    <row r="29" spans="2:33" x14ac:dyDescent="0.25">
      <c r="B29" t="str">
        <f t="shared" si="0"/>
        <v>c</v>
      </c>
      <c r="C29" t="s">
        <v>158</v>
      </c>
      <c r="D29">
        <v>9078975</v>
      </c>
      <c r="E29">
        <v>420412</v>
      </c>
      <c r="F29" s="33">
        <v>97.053609845177178</v>
      </c>
      <c r="G29" s="48">
        <v>23.375629500269227</v>
      </c>
      <c r="H29" s="48">
        <v>5.2006885092006092</v>
      </c>
      <c r="I29" s="48">
        <v>0</v>
      </c>
      <c r="J29" s="48">
        <f t="shared" si="1"/>
        <v>5.2006885092006092</v>
      </c>
      <c r="K29" s="48">
        <f t="shared" si="2"/>
        <v>125.62992785464701</v>
      </c>
      <c r="N29" s="48"/>
      <c r="O29" s="33">
        <v>104.1434193254907</v>
      </c>
      <c r="P29" s="48"/>
      <c r="Q29" s="48"/>
      <c r="V29" s="48"/>
      <c r="W29" s="48"/>
      <c r="X29" s="48"/>
      <c r="Y29" s="48"/>
      <c r="AD29" s="48"/>
      <c r="AE29" s="48"/>
      <c r="AF29" s="48"/>
      <c r="AG29" s="48"/>
    </row>
    <row r="30" spans="2:33" x14ac:dyDescent="0.25">
      <c r="B30" t="str">
        <f t="shared" si="0"/>
        <v>c</v>
      </c>
      <c r="C30" t="s">
        <v>157</v>
      </c>
      <c r="D30">
        <v>9169944</v>
      </c>
      <c r="E30">
        <v>387991</v>
      </c>
      <c r="F30" s="33">
        <v>80.353618257454471</v>
      </c>
      <c r="G30" s="48">
        <v>19.625716554251341</v>
      </c>
      <c r="H30" s="48">
        <v>3.7630635118351727</v>
      </c>
      <c r="I30" s="48">
        <v>1.0602636858404093</v>
      </c>
      <c r="J30" s="48">
        <f t="shared" si="1"/>
        <v>4.8233271976755816</v>
      </c>
      <c r="K30" s="48">
        <f t="shared" si="2"/>
        <v>104.80266200938139</v>
      </c>
      <c r="N30" s="48"/>
      <c r="O30" s="33">
        <v>104.08112670884771</v>
      </c>
      <c r="P30" s="48"/>
      <c r="Q30" s="48"/>
      <c r="V30" s="48"/>
      <c r="W30" s="48"/>
      <c r="X30" s="48"/>
      <c r="Y30" s="48"/>
      <c r="AD30" s="48"/>
      <c r="AE30" s="48"/>
      <c r="AF30" s="48"/>
      <c r="AG30" s="48"/>
    </row>
    <row r="31" spans="2:33" x14ac:dyDescent="0.25">
      <c r="B31" t="str">
        <f t="shared" si="0"/>
        <v>c</v>
      </c>
      <c r="C31" t="s">
        <v>156</v>
      </c>
      <c r="D31">
        <v>9156864</v>
      </c>
      <c r="E31">
        <v>411836</v>
      </c>
      <c r="F31" s="33">
        <v>78.440243198861481</v>
      </c>
      <c r="G31" s="48">
        <v>19.192587873389499</v>
      </c>
      <c r="H31" s="48">
        <v>13.162627674138724</v>
      </c>
      <c r="I31" s="48">
        <v>1.4680574111636437</v>
      </c>
      <c r="J31" s="48">
        <f t="shared" si="1"/>
        <v>14.630685085302368</v>
      </c>
      <c r="K31" s="48">
        <f t="shared" si="2"/>
        <v>112.26351615755334</v>
      </c>
      <c r="N31" s="48"/>
      <c r="O31" s="33">
        <v>82.292103245184478</v>
      </c>
      <c r="P31" s="48"/>
      <c r="Q31" s="48"/>
      <c r="V31" s="48"/>
      <c r="W31" s="48"/>
      <c r="X31" s="48"/>
      <c r="Y31" s="48"/>
      <c r="AD31" s="48"/>
      <c r="AE31" s="48"/>
      <c r="AF31" s="48"/>
      <c r="AG31" s="48"/>
    </row>
    <row r="32" spans="2:33" x14ac:dyDescent="0.25">
      <c r="B32" t="str">
        <f t="shared" si="0"/>
        <v>c</v>
      </c>
      <c r="C32" t="s">
        <v>155</v>
      </c>
      <c r="D32">
        <v>9216825</v>
      </c>
      <c r="E32">
        <v>406963</v>
      </c>
      <c r="F32" s="33">
        <v>72.058923597461714</v>
      </c>
      <c r="G32" s="48">
        <v>17.742277293991933</v>
      </c>
      <c r="H32" s="48">
        <v>7.1533672806233382</v>
      </c>
      <c r="I32" s="48">
        <v>0.48935247038788116</v>
      </c>
      <c r="J32" s="48">
        <f t="shared" si="1"/>
        <v>7.642719751011219</v>
      </c>
      <c r="K32" s="48">
        <f t="shared" si="2"/>
        <v>97.44392064246486</v>
      </c>
      <c r="N32" s="48"/>
      <c r="O32" s="33">
        <v>91.744609540838482</v>
      </c>
      <c r="P32" s="48"/>
      <c r="Q32" s="48"/>
      <c r="V32" s="48"/>
      <c r="W32" s="48"/>
      <c r="X32" s="48"/>
      <c r="Y32" s="48"/>
      <c r="AD32" s="48"/>
      <c r="AE32" s="48"/>
      <c r="AF32" s="48"/>
      <c r="AG32" s="48"/>
    </row>
    <row r="33" spans="2:34" x14ac:dyDescent="0.25">
      <c r="B33" t="str">
        <f t="shared" si="0"/>
        <v>c</v>
      </c>
      <c r="C33" t="s">
        <v>154</v>
      </c>
      <c r="D33">
        <v>9167901</v>
      </c>
      <c r="E33">
        <v>387658</v>
      </c>
      <c r="F33" s="33">
        <v>93.246216110944417</v>
      </c>
      <c r="G33" s="48">
        <v>22.525217565569321</v>
      </c>
      <c r="H33" s="48">
        <v>7.0763206029498376</v>
      </c>
      <c r="I33" s="48">
        <v>0</v>
      </c>
      <c r="J33" s="48">
        <f t="shared" si="1"/>
        <v>7.0763206029498376</v>
      </c>
      <c r="K33" s="48">
        <f t="shared" si="2"/>
        <v>122.84775427946357</v>
      </c>
      <c r="N33" s="48"/>
      <c r="O33" s="33">
        <v>155.35880432383021</v>
      </c>
      <c r="P33" s="48"/>
      <c r="Q33" s="48"/>
      <c r="V33" s="48"/>
      <c r="W33" s="48"/>
      <c r="X33" s="48"/>
      <c r="Y33" s="48"/>
      <c r="AD33" s="48"/>
      <c r="AE33" s="48"/>
      <c r="AF33" s="48"/>
      <c r="AG33" s="48"/>
    </row>
    <row r="34" spans="2:34" x14ac:dyDescent="0.25">
      <c r="B34" t="str">
        <f t="shared" si="0"/>
        <v>c</v>
      </c>
      <c r="C34" t="s">
        <v>153</v>
      </c>
      <c r="D34">
        <v>9155231</v>
      </c>
      <c r="E34">
        <v>412436</v>
      </c>
      <c r="F34" s="33">
        <v>95.359618332532847</v>
      </c>
      <c r="G34" s="48">
        <v>22.997573630895118</v>
      </c>
      <c r="H34" s="48">
        <v>3.9422236837708624</v>
      </c>
      <c r="I34" s="48">
        <v>2.2836448618101124</v>
      </c>
      <c r="J34" s="48">
        <f t="shared" si="1"/>
        <v>6.2258685455809744</v>
      </c>
      <c r="K34" s="48">
        <f t="shared" si="2"/>
        <v>124.58306050900894</v>
      </c>
      <c r="N34" s="48"/>
      <c r="O34" s="33">
        <v>173.66116898995861</v>
      </c>
      <c r="P34" s="48"/>
      <c r="Q34" s="48"/>
      <c r="V34" s="48"/>
      <c r="W34" s="48"/>
      <c r="X34" s="48"/>
      <c r="Y34" s="48"/>
      <c r="AD34" s="48"/>
      <c r="AE34" s="48"/>
      <c r="AF34" s="48"/>
      <c r="AG34" s="48"/>
    </row>
    <row r="35" spans="2:34" x14ac:dyDescent="0.25">
      <c r="B35" t="str">
        <f t="shared" si="0"/>
        <v>c</v>
      </c>
      <c r="C35" t="s">
        <v>152</v>
      </c>
      <c r="D35">
        <v>9088492</v>
      </c>
      <c r="E35">
        <v>424410</v>
      </c>
      <c r="F35" s="33">
        <v>79.214100805524367</v>
      </c>
      <c r="G35" s="48">
        <v>19.367858301829173</v>
      </c>
      <c r="H35" s="48">
        <v>5.5614602181371584</v>
      </c>
      <c r="I35" s="48">
        <v>0</v>
      </c>
      <c r="J35" s="48">
        <f t="shared" si="1"/>
        <v>5.5614602181371584</v>
      </c>
      <c r="K35" s="48">
        <f t="shared" si="2"/>
        <v>104.1434193254907</v>
      </c>
      <c r="N35" s="48"/>
      <c r="O35" s="33">
        <v>120.96105327395586</v>
      </c>
      <c r="P35" s="48"/>
      <c r="Q35" s="48"/>
      <c r="V35" s="48"/>
      <c r="W35" s="48"/>
      <c r="X35" s="48"/>
      <c r="Y35" s="48"/>
      <c r="AD35" s="48"/>
      <c r="AE35" s="48"/>
      <c r="AF35" s="48"/>
      <c r="AG35" s="48"/>
    </row>
    <row r="36" spans="2:34" x14ac:dyDescent="0.25">
      <c r="B36" t="str">
        <f t="shared" si="0"/>
        <v>c</v>
      </c>
      <c r="C36" t="s">
        <v>151</v>
      </c>
      <c r="D36">
        <v>9156055</v>
      </c>
      <c r="E36">
        <v>396296</v>
      </c>
      <c r="F36" s="33">
        <v>79.904900983821705</v>
      </c>
      <c r="G36" s="48">
        <v>19.524210075227714</v>
      </c>
      <c r="H36" s="48">
        <v>4.6520156497982912</v>
      </c>
      <c r="I36" s="48">
        <v>0</v>
      </c>
      <c r="J36" s="48">
        <f t="shared" si="1"/>
        <v>4.6520156497982912</v>
      </c>
      <c r="K36" s="48">
        <f t="shared" si="2"/>
        <v>104.08112670884771</v>
      </c>
      <c r="N36" s="48"/>
      <c r="O36" s="33">
        <v>100.51425447582029</v>
      </c>
      <c r="P36" s="48"/>
      <c r="Q36" s="48"/>
      <c r="V36" s="48"/>
      <c r="W36" s="48"/>
      <c r="X36" s="48"/>
      <c r="Y36" s="48"/>
      <c r="AD36" s="48"/>
      <c r="AE36" s="48"/>
      <c r="AF36" s="48"/>
      <c r="AG36" s="48"/>
    </row>
    <row r="37" spans="2:34" x14ac:dyDescent="0.25">
      <c r="B37" t="str">
        <f t="shared" si="0"/>
        <v>c</v>
      </c>
      <c r="C37" t="s">
        <v>150</v>
      </c>
      <c r="D37">
        <v>9152794</v>
      </c>
      <c r="E37">
        <v>402610</v>
      </c>
      <c r="F37" s="33">
        <v>59.511431708132207</v>
      </c>
      <c r="G37" s="48">
        <v>14.861767271231798</v>
      </c>
      <c r="H37" s="48">
        <v>6.7770818349154158</v>
      </c>
      <c r="I37" s="48">
        <v>1.1418224309050562</v>
      </c>
      <c r="J37" s="48">
        <f t="shared" si="1"/>
        <v>7.9189042658204718</v>
      </c>
      <c r="K37" s="48">
        <f t="shared" si="2"/>
        <v>82.292103245184478</v>
      </c>
      <c r="M37" s="48" t="s">
        <v>132</v>
      </c>
      <c r="N37" s="48">
        <f>AVERAGE(N4:N36)</f>
        <v>80.516298849436879</v>
      </c>
      <c r="O37" s="48">
        <f>AVERAGE(O4:O36)</f>
        <v>127.34476366427123</v>
      </c>
      <c r="P37" s="48">
        <f>AVERAGE(P4:P36)</f>
        <v>101.76900046370203</v>
      </c>
      <c r="Q37" s="48">
        <f>AVERAGE(Q4:Q36)</f>
        <v>183.17100515199269</v>
      </c>
      <c r="R37" s="48">
        <f>N48</f>
        <v>150.97090928756097</v>
      </c>
      <c r="S37" s="48"/>
      <c r="U37" s="48"/>
      <c r="V37" s="48"/>
      <c r="W37" s="48"/>
      <c r="X37" s="48"/>
      <c r="Y37" s="48"/>
      <c r="Z37" s="48"/>
      <c r="AA37" s="48"/>
      <c r="AC37" s="48"/>
      <c r="AD37" s="48"/>
      <c r="AE37" s="48"/>
      <c r="AF37" s="48"/>
      <c r="AG37" s="48"/>
      <c r="AH37" s="48"/>
    </row>
    <row r="38" spans="2:34" x14ac:dyDescent="0.25">
      <c r="B38" t="str">
        <f t="shared" si="0"/>
        <v>c</v>
      </c>
      <c r="C38" t="s">
        <v>149</v>
      </c>
      <c r="D38">
        <v>9155271</v>
      </c>
      <c r="E38">
        <v>397364</v>
      </c>
      <c r="F38" s="33">
        <v>65.529373081516056</v>
      </c>
      <c r="G38" s="48">
        <v>16.248386282308402</v>
      </c>
      <c r="H38" s="48">
        <v>8.4987927658503857</v>
      </c>
      <c r="I38" s="48">
        <v>1.4680574111636435</v>
      </c>
      <c r="J38" s="48">
        <f t="shared" si="1"/>
        <v>9.9668501770140292</v>
      </c>
      <c r="K38" s="48">
        <f t="shared" si="2"/>
        <v>91.744609540838482</v>
      </c>
      <c r="M38" s="48" t="s">
        <v>136</v>
      </c>
      <c r="N38" s="48">
        <f>VAR(N4:N36)</f>
        <v>466.79688242685518</v>
      </c>
      <c r="O38" s="48">
        <f>VAR(O4:O36)</f>
        <v>726.50160962869631</v>
      </c>
      <c r="P38" s="48">
        <f>VAR(P4:P36)</f>
        <v>497.76243740002246</v>
      </c>
      <c r="Q38" s="48">
        <f>VAR(Q4:Q36)</f>
        <v>2264.9285184922014</v>
      </c>
      <c r="R38" s="48"/>
      <c r="S38" s="48"/>
      <c r="U38" s="48"/>
      <c r="V38" s="48"/>
      <c r="W38" s="48"/>
      <c r="X38" s="48"/>
      <c r="Y38" s="48"/>
      <c r="Z38" s="48"/>
      <c r="AA38" s="48"/>
      <c r="AC38" s="48"/>
      <c r="AD38" s="48"/>
      <c r="AE38" s="48"/>
      <c r="AF38" s="48"/>
      <c r="AG38" s="48"/>
      <c r="AH38" s="48"/>
    </row>
    <row r="39" spans="2:34" x14ac:dyDescent="0.25">
      <c r="B39" t="str">
        <f t="shared" si="0"/>
        <v>C</v>
      </c>
      <c r="C39" t="s">
        <v>148</v>
      </c>
      <c r="D39">
        <v>9216349</v>
      </c>
      <c r="E39">
        <v>398739</v>
      </c>
      <c r="F39" s="33">
        <v>112.53408166611219</v>
      </c>
      <c r="G39" s="48">
        <v>26.808933478960412</v>
      </c>
      <c r="H39" s="48">
        <v>14.497860854266529</v>
      </c>
      <c r="I39" s="48">
        <v>1.5179283244910828</v>
      </c>
      <c r="J39" s="48">
        <f t="shared" si="1"/>
        <v>16.015789178757611</v>
      </c>
      <c r="K39" s="48">
        <f t="shared" si="2"/>
        <v>155.35880432383021</v>
      </c>
      <c r="M39" s="48" t="s">
        <v>147</v>
      </c>
      <c r="N39" s="48">
        <f>STDEV(N4:N36)</f>
        <v>21.605482693678823</v>
      </c>
      <c r="O39" s="48">
        <f>STDEV(O4:O36)</f>
        <v>26.953693803052232</v>
      </c>
      <c r="P39" s="48">
        <f>STDEV(P4:P36)</f>
        <v>22.310590252165504</v>
      </c>
      <c r="Q39" s="48">
        <f>STDEV(Q4:Q36)</f>
        <v>47.591265149102746</v>
      </c>
      <c r="R39" s="48"/>
      <c r="S39" s="48"/>
      <c r="U39" s="48"/>
      <c r="V39" s="48"/>
      <c r="W39" s="48"/>
      <c r="X39" s="48"/>
      <c r="Y39" s="48"/>
      <c r="Z39" s="48"/>
      <c r="AA39" s="48"/>
      <c r="AC39" s="48"/>
      <c r="AD39" s="48"/>
      <c r="AE39" s="48"/>
      <c r="AF39" s="48"/>
      <c r="AG39" s="48"/>
      <c r="AH39" s="48"/>
    </row>
    <row r="40" spans="2:34" x14ac:dyDescent="0.25">
      <c r="B40" t="str">
        <f t="shared" si="0"/>
        <v>c</v>
      </c>
      <c r="C40" t="s">
        <v>146</v>
      </c>
      <c r="D40">
        <v>9234403</v>
      </c>
      <c r="E40">
        <v>460028</v>
      </c>
      <c r="F40" s="33">
        <v>135.65661055750536</v>
      </c>
      <c r="G40" s="48">
        <v>31.873577956847299</v>
      </c>
      <c r="H40" s="48">
        <v>5.8324754686693518</v>
      </c>
      <c r="I40" s="48">
        <v>0.2985050069366077</v>
      </c>
      <c r="J40" s="48">
        <f t="shared" si="1"/>
        <v>6.1309804756059592</v>
      </c>
      <c r="K40" s="48">
        <f t="shared" si="2"/>
        <v>173.66116898995861</v>
      </c>
      <c r="M40" s="48" t="s">
        <v>145</v>
      </c>
      <c r="N40" s="48">
        <f>(N39/N37)*100</f>
        <v>26.833675917071702</v>
      </c>
      <c r="O40" s="48">
        <f>(O39/O37)*100</f>
        <v>21.165922357131485</v>
      </c>
      <c r="P40" s="48">
        <f>(P39/P37)*100</f>
        <v>21.922776238843998</v>
      </c>
      <c r="Q40" s="48">
        <f>(Q39/Q37)*100</f>
        <v>25.981876940409972</v>
      </c>
      <c r="R40" s="48"/>
      <c r="S40" s="48"/>
      <c r="U40" s="48"/>
      <c r="V40" s="48"/>
      <c r="W40" s="48"/>
      <c r="X40" s="48"/>
      <c r="Y40" s="48"/>
      <c r="Z40" s="48"/>
      <c r="AA40" s="48"/>
      <c r="AC40" s="48"/>
      <c r="AD40" s="48"/>
      <c r="AE40" s="48"/>
      <c r="AF40" s="48"/>
      <c r="AG40" s="48"/>
      <c r="AH40" s="48"/>
    </row>
    <row r="41" spans="2:34" x14ac:dyDescent="0.25">
      <c r="B41" t="str">
        <f t="shared" si="0"/>
        <v>c</v>
      </c>
      <c r="C41" t="s">
        <v>144</v>
      </c>
      <c r="D41">
        <v>9155825</v>
      </c>
      <c r="E41">
        <v>410654</v>
      </c>
      <c r="F41" s="33">
        <v>86.465363963314175</v>
      </c>
      <c r="G41" s="48">
        <v>21.004209442358686</v>
      </c>
      <c r="H41" s="48">
        <v>12.512774927507236</v>
      </c>
      <c r="I41" s="48">
        <v>0.97870494077576242</v>
      </c>
      <c r="J41" s="48">
        <f t="shared" si="1"/>
        <v>13.491479868282998</v>
      </c>
      <c r="K41" s="48">
        <f t="shared" si="2"/>
        <v>120.96105327395586</v>
      </c>
      <c r="M41" s="48" t="s">
        <v>134</v>
      </c>
      <c r="N41" s="48">
        <f>SQRT((N39^2)/N44)</f>
        <v>8.8204013743409586</v>
      </c>
      <c r="O41" s="48">
        <f>SQRT((O39^2)/O44)</f>
        <v>4.6920358365829511</v>
      </c>
      <c r="P41" s="48">
        <f>SQRT((P39^2)/P44)</f>
        <v>9.9775992843972485</v>
      </c>
      <c r="Q41" s="48">
        <f>SQRT((Q39^2)/Q44)</f>
        <v>10.641730400861039</v>
      </c>
      <c r="R41" s="48"/>
      <c r="S41" s="48"/>
      <c r="U41" s="48"/>
      <c r="V41" s="48"/>
      <c r="W41" s="48"/>
      <c r="X41" s="48"/>
      <c r="Y41" s="48"/>
      <c r="Z41" s="48"/>
      <c r="AA41" s="48"/>
      <c r="AC41" s="48"/>
      <c r="AD41" s="48"/>
      <c r="AE41" s="48"/>
      <c r="AF41" s="48"/>
      <c r="AG41" s="48"/>
      <c r="AH41" s="48"/>
    </row>
    <row r="42" spans="2:34" x14ac:dyDescent="0.25">
      <c r="B42" t="str">
        <f t="shared" si="0"/>
        <v>c</v>
      </c>
      <c r="C42" t="s">
        <v>143</v>
      </c>
      <c r="D42">
        <v>9154880</v>
      </c>
      <c r="E42">
        <v>401933</v>
      </c>
      <c r="F42" s="33">
        <v>76.937672859711142</v>
      </c>
      <c r="G42" s="48">
        <v>18.851905051840504</v>
      </c>
      <c r="H42" s="48">
        <v>4.0722066037514688</v>
      </c>
      <c r="I42" s="48">
        <v>0.65246996051717487</v>
      </c>
      <c r="J42" s="48">
        <f t="shared" si="1"/>
        <v>4.7246765642686439</v>
      </c>
      <c r="K42" s="48">
        <f t="shared" si="2"/>
        <v>100.51425447582029</v>
      </c>
      <c r="M42" s="48" t="s">
        <v>130</v>
      </c>
      <c r="N42" s="48">
        <f>(2.015*N41)</f>
        <v>17.773108769297032</v>
      </c>
      <c r="O42" s="48">
        <f>(1.697*O41)</f>
        <v>7.9623848146812684</v>
      </c>
      <c r="P42" s="48">
        <f>(2.132*P41)</f>
        <v>21.272241674334936</v>
      </c>
      <c r="Q42" s="48">
        <f>(1.729*Q41)</f>
        <v>18.399551863088739</v>
      </c>
      <c r="R42" s="48">
        <f>N49</f>
        <v>9.4941606603531348</v>
      </c>
      <c r="S42" s="48"/>
      <c r="U42" s="48"/>
      <c r="V42" s="48"/>
      <c r="W42" s="48"/>
      <c r="X42" s="48"/>
      <c r="Y42" s="48"/>
      <c r="Z42" s="48"/>
      <c r="AA42" s="48"/>
      <c r="AC42" s="48"/>
      <c r="AD42" s="48"/>
      <c r="AE42" s="48"/>
      <c r="AF42" s="48"/>
      <c r="AG42" s="48"/>
      <c r="AH42" s="48"/>
    </row>
    <row r="43" spans="2:34" x14ac:dyDescent="0.25">
      <c r="B43" t="str">
        <f t="shared" si="0"/>
        <v>h</v>
      </c>
      <c r="C43" t="s">
        <v>142</v>
      </c>
      <c r="D43">
        <v>9135654</v>
      </c>
      <c r="E43">
        <v>355625</v>
      </c>
      <c r="F43" s="33">
        <v>77.11633838052613</v>
      </c>
      <c r="G43" s="48">
        <v>18.89244009577861</v>
      </c>
      <c r="H43" s="48">
        <v>1.7492173727886755</v>
      </c>
      <c r="I43" s="48">
        <v>0.65246996051717476</v>
      </c>
      <c r="J43" s="48">
        <f t="shared" si="1"/>
        <v>2.4016873333058504</v>
      </c>
      <c r="K43" s="48">
        <f t="shared" si="2"/>
        <v>98.410465809610585</v>
      </c>
      <c r="M43" s="48" t="s">
        <v>128</v>
      </c>
      <c r="N43" s="48">
        <f>(2.571*N41)</f>
        <v>22.677251933430608</v>
      </c>
      <c r="O43" s="48">
        <f>(2.042*O41)</f>
        <v>9.5811371783023844</v>
      </c>
      <c r="P43" s="48">
        <f>(2.776*P41)</f>
        <v>27.69781561348676</v>
      </c>
      <c r="Q43" s="48">
        <f>(2.093*Q41)</f>
        <v>22.273141729002155</v>
      </c>
      <c r="R43" s="48"/>
      <c r="S43" s="48"/>
      <c r="U43" s="48"/>
      <c r="V43" s="48"/>
      <c r="W43" s="48"/>
      <c r="X43" s="48"/>
      <c r="Y43" s="48"/>
      <c r="Z43" s="48"/>
      <c r="AA43" s="48"/>
      <c r="AC43" s="48"/>
      <c r="AD43" s="48"/>
      <c r="AE43" s="48"/>
      <c r="AF43" s="48"/>
      <c r="AG43" s="48"/>
      <c r="AH43" s="48"/>
    </row>
    <row r="44" spans="2:34" x14ac:dyDescent="0.25">
      <c r="B44" t="str">
        <f t="shared" si="0"/>
        <v>h</v>
      </c>
      <c r="C44" t="s">
        <v>141</v>
      </c>
      <c r="D44">
        <v>9136466</v>
      </c>
      <c r="E44">
        <v>355328</v>
      </c>
      <c r="F44" s="33">
        <v>105.03000367645002</v>
      </c>
      <c r="G44" s="48">
        <v>25.149344945431309</v>
      </c>
      <c r="H44" s="48">
        <v>1.2985619822274661</v>
      </c>
      <c r="I44" s="48">
        <v>0</v>
      </c>
      <c r="J44" s="48">
        <f t="shared" si="1"/>
        <v>1.2985619822274661</v>
      </c>
      <c r="K44" s="48">
        <f t="shared" si="2"/>
        <v>131.47791060410879</v>
      </c>
      <c r="M44" s="62" t="s">
        <v>140</v>
      </c>
      <c r="N44" s="63">
        <f>COUNT(N4:N36)</f>
        <v>6</v>
      </c>
      <c r="O44" s="63">
        <f>COUNT(O4:O36)</f>
        <v>33</v>
      </c>
      <c r="P44" s="63">
        <f>COUNT(P4:P36)</f>
        <v>5</v>
      </c>
      <c r="Q44" s="63">
        <f>COUNT(Q4:Q36)</f>
        <v>20</v>
      </c>
      <c r="R44" s="62">
        <f>SUM(N44:Q44)</f>
        <v>64</v>
      </c>
      <c r="S44" s="62"/>
      <c r="U44" s="62"/>
      <c r="V44" s="63"/>
      <c r="W44" s="63"/>
      <c r="X44" s="63"/>
      <c r="Y44" s="63"/>
      <c r="Z44" s="62"/>
      <c r="AA44" s="62"/>
      <c r="AC44" s="62"/>
      <c r="AD44" s="63"/>
      <c r="AE44" s="63"/>
      <c r="AF44" s="63"/>
      <c r="AG44" s="63"/>
      <c r="AH44" s="62"/>
    </row>
    <row r="45" spans="2:34" x14ac:dyDescent="0.25">
      <c r="B45" t="str">
        <f t="shared" si="0"/>
        <v>h</v>
      </c>
      <c r="C45" t="s">
        <v>139</v>
      </c>
      <c r="D45">
        <v>9129481</v>
      </c>
      <c r="E45">
        <v>357883</v>
      </c>
      <c r="F45" s="33">
        <v>89.923871324839695</v>
      </c>
      <c r="G45" s="48">
        <v>21.781046037413148</v>
      </c>
      <c r="H45" s="48">
        <v>5.1436518011714583</v>
      </c>
      <c r="I45" s="48">
        <v>0</v>
      </c>
      <c r="J45" s="48">
        <f t="shared" si="1"/>
        <v>5.1436518011714583</v>
      </c>
      <c r="K45" s="48">
        <f t="shared" si="2"/>
        <v>116.8485691634243</v>
      </c>
      <c r="M45" s="60" t="s">
        <v>47</v>
      </c>
      <c r="N45" s="56">
        <v>48292.9</v>
      </c>
      <c r="O45" s="56">
        <v>238873.9</v>
      </c>
      <c r="P45" s="56">
        <v>8243.7000000000007</v>
      </c>
      <c r="Q45" s="56">
        <v>293531.2</v>
      </c>
      <c r="R45" s="56">
        <f>SUM(N45:Q45)</f>
        <v>588941.69999999995</v>
      </c>
      <c r="S45" s="61" t="s">
        <v>138</v>
      </c>
      <c r="U45" s="60"/>
      <c r="V45" s="56"/>
      <c r="W45" s="56"/>
      <c r="X45" s="56"/>
      <c r="Y45" s="56"/>
      <c r="Z45" s="56"/>
      <c r="AA45" s="61"/>
      <c r="AC45" s="60"/>
      <c r="AD45" s="56"/>
      <c r="AE45" s="56"/>
      <c r="AF45" s="56"/>
      <c r="AG45" s="56"/>
      <c r="AH45" s="56"/>
    </row>
    <row r="46" spans="2:34" x14ac:dyDescent="0.25">
      <c r="B46" t="str">
        <f t="shared" si="0"/>
        <v>h</v>
      </c>
      <c r="C46" t="s">
        <v>137</v>
      </c>
      <c r="D46">
        <v>9127725</v>
      </c>
      <c r="E46">
        <v>356818</v>
      </c>
      <c r="F46" s="33">
        <v>53.422665170157778</v>
      </c>
      <c r="G46" s="48">
        <v>13.448205809742824</v>
      </c>
      <c r="H46" s="48">
        <v>9.3346120503265784</v>
      </c>
      <c r="I46" s="48">
        <v>2.4467623519394057</v>
      </c>
      <c r="J46" s="48">
        <f t="shared" si="1"/>
        <v>11.781374402265984</v>
      </c>
      <c r="K46" s="48">
        <f t="shared" si="2"/>
        <v>78.652245382166583</v>
      </c>
      <c r="M46" s="60" t="s">
        <v>136</v>
      </c>
      <c r="N46">
        <f>(N45^2*N38)/N44</f>
        <v>181444274211.03931</v>
      </c>
      <c r="O46">
        <f>(O45^2*O38)/O44</f>
        <v>1256203622125.2656</v>
      </c>
      <c r="P46">
        <f>(P45^2*P38)/P44</f>
        <v>6765446649.2724886</v>
      </c>
      <c r="Q46">
        <f>(Q45^2*Q38)/Q44</f>
        <v>9757376084185.7969</v>
      </c>
      <c r="R46" s="48"/>
      <c r="S46" s="48"/>
      <c r="U46" s="60"/>
      <c r="Z46" s="48"/>
      <c r="AA46" s="48"/>
      <c r="AC46" s="60"/>
      <c r="AH46" s="48"/>
    </row>
    <row r="47" spans="2:34" ht="30" x14ac:dyDescent="0.25">
      <c r="B47" t="str">
        <f t="shared" si="0"/>
        <v>h</v>
      </c>
      <c r="C47" t="s">
        <v>135</v>
      </c>
      <c r="D47">
        <v>9134705</v>
      </c>
      <c r="E47">
        <v>353670</v>
      </c>
      <c r="F47" s="33">
        <v>59.898256459956471</v>
      </c>
      <c r="G47" s="48">
        <v>14.951198887913534</v>
      </c>
      <c r="H47" s="48">
        <v>6.4042698945843757</v>
      </c>
      <c r="I47" s="48">
        <v>2.2020861167454657</v>
      </c>
      <c r="J47" s="48">
        <f t="shared" si="1"/>
        <v>8.6063560113298418</v>
      </c>
      <c r="K47" s="48">
        <f t="shared" si="2"/>
        <v>83.455811359199842</v>
      </c>
      <c r="M47" s="60" t="s">
        <v>134</v>
      </c>
      <c r="N47">
        <f>SQRT((1/R45^2)*SUM(N46:Q46))</f>
        <v>5.6829180923635221</v>
      </c>
      <c r="P47" s="48"/>
      <c r="Q47" s="48"/>
      <c r="R47" s="48"/>
      <c r="S47" s="48"/>
      <c r="U47" s="60"/>
      <c r="X47" s="48"/>
      <c r="Y47" s="48"/>
      <c r="Z47" s="48"/>
      <c r="AA47" s="48"/>
      <c r="AC47" s="60"/>
      <c r="AF47" s="48"/>
      <c r="AG47" s="48"/>
      <c r="AH47" s="48"/>
    </row>
    <row r="48" spans="2:34" x14ac:dyDescent="0.25">
      <c r="B48" t="str">
        <f t="shared" si="0"/>
        <v>m</v>
      </c>
      <c r="C48" t="s">
        <v>133</v>
      </c>
      <c r="D48">
        <v>9112701</v>
      </c>
      <c r="E48">
        <v>342698</v>
      </c>
      <c r="F48" s="33">
        <v>87.845525600422974</v>
      </c>
      <c r="G48" s="48">
        <v>21.314486733595587</v>
      </c>
      <c r="H48" s="48">
        <v>3.9346034259959604</v>
      </c>
      <c r="I48" s="48">
        <v>1.9516221314885349</v>
      </c>
      <c r="J48" s="48">
        <f t="shared" si="1"/>
        <v>5.8862255574844955</v>
      </c>
      <c r="K48" s="48">
        <f t="shared" si="2"/>
        <v>115.04623789150305</v>
      </c>
      <c r="M48" s="60" t="s">
        <v>132</v>
      </c>
      <c r="N48">
        <f>((N37*N45)+(O37*O45)+(P37*P45)+(Q37*Q45))/R45</f>
        <v>150.97090928756097</v>
      </c>
      <c r="P48" s="48"/>
      <c r="Q48" s="48"/>
      <c r="R48" s="48"/>
      <c r="S48" s="48"/>
      <c r="U48" s="60"/>
      <c r="X48" s="48"/>
      <c r="Y48" s="48"/>
      <c r="Z48" s="48"/>
      <c r="AA48" s="48"/>
      <c r="AC48" s="60"/>
      <c r="AF48" s="48"/>
      <c r="AG48" s="48"/>
      <c r="AH48" s="48"/>
    </row>
    <row r="49" spans="2:34" x14ac:dyDescent="0.25">
      <c r="B49" t="str">
        <f t="shared" si="0"/>
        <v>m</v>
      </c>
      <c r="C49" t="s">
        <v>131</v>
      </c>
      <c r="D49">
        <v>9138756</v>
      </c>
      <c r="E49">
        <v>330325</v>
      </c>
      <c r="F49" s="33">
        <v>136.31064619601472</v>
      </c>
      <c r="G49" s="48">
        <v>32.015851750071079</v>
      </c>
      <c r="H49" s="48">
        <v>7.5541259171295989</v>
      </c>
      <c r="I49" s="48">
        <v>0</v>
      </c>
      <c r="J49" s="48">
        <f t="shared" si="1"/>
        <v>7.5541259171295989</v>
      </c>
      <c r="K49" s="48">
        <f t="shared" si="2"/>
        <v>175.88062386321539</v>
      </c>
      <c r="M49" s="48" t="s">
        <v>130</v>
      </c>
      <c r="N49" s="48">
        <f>TINV(0.1,R44-4)*N47</f>
        <v>9.4941606603531348</v>
      </c>
      <c r="P49" s="48"/>
      <c r="Q49" s="48"/>
      <c r="R49" s="48"/>
      <c r="S49" s="48"/>
      <c r="U49" s="48"/>
      <c r="V49" s="48"/>
      <c r="X49" s="48"/>
      <c r="Y49" s="48"/>
      <c r="Z49" s="48"/>
      <c r="AA49" s="48"/>
      <c r="AC49" s="48"/>
      <c r="AD49" s="48"/>
      <c r="AF49" s="48"/>
      <c r="AG49" s="48"/>
      <c r="AH49" s="48"/>
    </row>
    <row r="50" spans="2:34" x14ac:dyDescent="0.25">
      <c r="B50" t="str">
        <f t="shared" si="0"/>
        <v>m</v>
      </c>
      <c r="C50" t="s">
        <v>129</v>
      </c>
      <c r="D50">
        <v>9218658</v>
      </c>
      <c r="E50">
        <v>389881</v>
      </c>
      <c r="F50" s="33">
        <v>196.49493764414842</v>
      </c>
      <c r="G50" s="48">
        <v>44.919390216214566</v>
      </c>
      <c r="H50" s="48">
        <v>20.059920137353636</v>
      </c>
      <c r="I50" s="48">
        <v>0</v>
      </c>
      <c r="J50" s="48">
        <f t="shared" si="1"/>
        <v>20.059920137353636</v>
      </c>
      <c r="K50" s="48">
        <f t="shared" si="2"/>
        <v>261.47424799771665</v>
      </c>
      <c r="M50" s="48" t="s">
        <v>128</v>
      </c>
      <c r="N50" s="48">
        <f>TINV(0.05,R44-4)*N47</f>
        <v>11.367528682840192</v>
      </c>
      <c r="P50" s="48"/>
      <c r="Q50" s="48"/>
      <c r="R50" s="48"/>
      <c r="S50" s="48"/>
      <c r="U50" s="48"/>
      <c r="V50" s="48"/>
      <c r="X50" s="48"/>
      <c r="Y50" s="48"/>
      <c r="Z50" s="48"/>
      <c r="AA50" s="48"/>
      <c r="AC50" s="48"/>
      <c r="AD50" s="48"/>
      <c r="AF50" s="48"/>
      <c r="AG50" s="48"/>
      <c r="AH50" s="48"/>
    </row>
    <row r="51" spans="2:34" ht="45" x14ac:dyDescent="0.25">
      <c r="B51" t="str">
        <f t="shared" si="0"/>
        <v>m</v>
      </c>
      <c r="C51" t="s">
        <v>127</v>
      </c>
      <c r="D51">
        <v>9094698</v>
      </c>
      <c r="E51">
        <v>366911</v>
      </c>
      <c r="F51" s="33">
        <v>136.11898795874001</v>
      </c>
      <c r="G51" s="48">
        <v>31.974165160717149</v>
      </c>
      <c r="H51" s="48">
        <v>9.7412505226439698</v>
      </c>
      <c r="I51" s="48">
        <v>0.42117639947897506</v>
      </c>
      <c r="J51" s="48">
        <f t="shared" si="1"/>
        <v>10.162426922122945</v>
      </c>
      <c r="K51" s="48">
        <f t="shared" si="2"/>
        <v>178.25558004158009</v>
      </c>
      <c r="M51" s="60" t="s">
        <v>126</v>
      </c>
      <c r="N51" s="55">
        <f>N49/N48</f>
        <v>6.2887351643813622E-2</v>
      </c>
      <c r="P51" s="48"/>
      <c r="Q51" s="48"/>
      <c r="R51" s="48"/>
      <c r="S51" s="48"/>
      <c r="U51" s="60"/>
      <c r="V51" s="55"/>
      <c r="X51" s="48"/>
      <c r="Y51" s="48"/>
      <c r="Z51" s="48"/>
      <c r="AA51" s="48"/>
      <c r="AC51" s="60"/>
      <c r="AD51" s="55"/>
      <c r="AF51" s="48"/>
      <c r="AG51" s="48"/>
      <c r="AH51" s="48"/>
    </row>
    <row r="52" spans="2:34" ht="45" x14ac:dyDescent="0.25">
      <c r="B52" t="str">
        <f t="shared" si="0"/>
        <v>m</v>
      </c>
      <c r="C52" t="s">
        <v>125</v>
      </c>
      <c r="D52">
        <v>9138564</v>
      </c>
      <c r="E52">
        <v>328786</v>
      </c>
      <c r="F52" s="33">
        <v>162.81851753017696</v>
      </c>
      <c r="G52" s="48">
        <v>37.742286096444332</v>
      </c>
      <c r="H52" s="48">
        <v>15.304714983845624</v>
      </c>
      <c r="I52" s="48">
        <v>0</v>
      </c>
      <c r="J52" s="48">
        <f t="shared" si="1"/>
        <v>15.304714983845624</v>
      </c>
      <c r="K52" s="48">
        <f t="shared" si="2"/>
        <v>215.86551861046692</v>
      </c>
      <c r="M52" s="59" t="s">
        <v>124</v>
      </c>
      <c r="N52" s="58">
        <f>N50/N48</f>
        <v>7.5296152990560292E-2</v>
      </c>
      <c r="P52" s="48"/>
      <c r="Q52" s="48"/>
      <c r="R52" s="48"/>
      <c r="S52" s="48"/>
      <c r="U52" s="59"/>
      <c r="V52" s="58"/>
      <c r="X52" s="48"/>
      <c r="Y52" s="48"/>
      <c r="Z52" s="48"/>
      <c r="AA52" s="48"/>
      <c r="AC52" s="59"/>
      <c r="AD52" s="58"/>
      <c r="AF52" s="48"/>
      <c r="AG52" s="48"/>
      <c r="AH52" s="48"/>
    </row>
    <row r="53" spans="2:34" x14ac:dyDescent="0.25">
      <c r="B53" t="str">
        <f t="shared" si="0"/>
        <v>m</v>
      </c>
      <c r="C53" t="s">
        <v>123</v>
      </c>
      <c r="D53">
        <v>90826570</v>
      </c>
      <c r="E53">
        <v>371230</v>
      </c>
      <c r="F53" s="33">
        <v>157.30534914369576</v>
      </c>
      <c r="G53" s="48">
        <v>36.557371304503619</v>
      </c>
      <c r="H53" s="48">
        <v>3.6152701249300443</v>
      </c>
      <c r="I53" s="48">
        <v>2.1142573091125803</v>
      </c>
      <c r="J53" s="48">
        <f t="shared" si="1"/>
        <v>5.729527434042625</v>
      </c>
      <c r="K53" s="48">
        <f t="shared" si="2"/>
        <v>199.59224788224202</v>
      </c>
    </row>
    <row r="54" spans="2:34" x14ac:dyDescent="0.25">
      <c r="B54" t="str">
        <f t="shared" si="0"/>
        <v>m</v>
      </c>
      <c r="C54" t="s">
        <v>122</v>
      </c>
      <c r="D54">
        <v>9113536</v>
      </c>
      <c r="E54">
        <v>341834</v>
      </c>
      <c r="F54" s="33">
        <v>184.48472300332185</v>
      </c>
      <c r="G54" s="48">
        <v>42.371108438232596</v>
      </c>
      <c r="H54" s="48">
        <v>7.0259539937438094</v>
      </c>
      <c r="I54" s="48">
        <v>0</v>
      </c>
      <c r="J54" s="48">
        <f t="shared" si="1"/>
        <v>7.0259539937438094</v>
      </c>
      <c r="K54" s="48">
        <f t="shared" si="2"/>
        <v>233.88178543529824</v>
      </c>
    </row>
    <row r="55" spans="2:34" x14ac:dyDescent="0.25">
      <c r="B55" t="str">
        <f t="shared" si="0"/>
        <v>m</v>
      </c>
      <c r="C55" t="s">
        <v>121</v>
      </c>
      <c r="D55">
        <v>9138568</v>
      </c>
      <c r="E55">
        <v>329718</v>
      </c>
      <c r="F55" s="33">
        <v>112.67752517323785</v>
      </c>
      <c r="G55" s="48">
        <v>26.840575693724816</v>
      </c>
      <c r="H55" s="48">
        <v>19.100938757209871</v>
      </c>
      <c r="I55" s="48">
        <v>1.6263517762404454</v>
      </c>
      <c r="J55" s="48">
        <f t="shared" si="1"/>
        <v>20.727290533450315</v>
      </c>
      <c r="K55" s="48">
        <f t="shared" si="2"/>
        <v>160.24539140041298</v>
      </c>
    </row>
    <row r="56" spans="2:34" x14ac:dyDescent="0.25">
      <c r="B56" t="str">
        <f t="shared" si="0"/>
        <v>m</v>
      </c>
      <c r="C56" t="s">
        <v>120</v>
      </c>
      <c r="D56">
        <v>9095511</v>
      </c>
      <c r="E56">
        <v>366352</v>
      </c>
      <c r="F56" s="33">
        <v>151.80906682872495</v>
      </c>
      <c r="G56" s="48">
        <v>35.373022245726901</v>
      </c>
      <c r="H56" s="48">
        <v>8.6457692583428898</v>
      </c>
      <c r="I56" s="48">
        <v>2.44</v>
      </c>
      <c r="J56" s="48">
        <f t="shared" si="1"/>
        <v>11.085769258342889</v>
      </c>
      <c r="K56" s="48">
        <f t="shared" si="2"/>
        <v>198.26785833279473</v>
      </c>
    </row>
    <row r="57" spans="2:34" x14ac:dyDescent="0.25">
      <c r="B57" t="str">
        <f t="shared" si="0"/>
        <v>m</v>
      </c>
      <c r="C57" t="s">
        <v>119</v>
      </c>
      <c r="D57">
        <v>9094841</v>
      </c>
      <c r="E57">
        <v>365343</v>
      </c>
      <c r="F57" s="33">
        <v>134.00753893149587</v>
      </c>
      <c r="G57" s="48">
        <v>31.514625847199767</v>
      </c>
      <c r="H57" s="48">
        <v>6.6771631496223707</v>
      </c>
      <c r="I57" s="48">
        <v>1.6263517762404462</v>
      </c>
      <c r="J57" s="48">
        <f t="shared" si="1"/>
        <v>8.3035149258628174</v>
      </c>
      <c r="K57" s="48">
        <f t="shared" si="2"/>
        <v>173.82567970455847</v>
      </c>
    </row>
    <row r="58" spans="2:34" x14ac:dyDescent="0.25">
      <c r="B58" t="str">
        <f t="shared" si="0"/>
        <v>m</v>
      </c>
      <c r="C58" t="s">
        <v>118</v>
      </c>
      <c r="D58">
        <v>9139078</v>
      </c>
      <c r="E58">
        <v>330587</v>
      </c>
      <c r="F58" s="33">
        <v>80.626811767756607</v>
      </c>
      <c r="G58" s="48">
        <v>19.687496408645103</v>
      </c>
      <c r="H58" s="48">
        <v>24.044855582152987</v>
      </c>
      <c r="I58" s="48">
        <v>2.1142573091125794</v>
      </c>
      <c r="J58" s="48">
        <f t="shared" si="1"/>
        <v>26.159112891265565</v>
      </c>
      <c r="K58" s="48">
        <f t="shared" si="2"/>
        <v>126.47342106766727</v>
      </c>
    </row>
    <row r="59" spans="2:34" x14ac:dyDescent="0.25">
      <c r="B59" t="str">
        <f t="shared" si="0"/>
        <v>m</v>
      </c>
      <c r="C59" t="s">
        <v>117</v>
      </c>
      <c r="D59">
        <v>9094305</v>
      </c>
      <c r="E59">
        <v>366033</v>
      </c>
      <c r="F59" s="33">
        <v>114.83176950994751</v>
      </c>
      <c r="G59" s="48">
        <v>27.315424370940107</v>
      </c>
      <c r="H59" s="48">
        <v>7.3188761397589159</v>
      </c>
      <c r="I59" s="48">
        <v>1.5450341874284239</v>
      </c>
      <c r="J59" s="48">
        <f t="shared" si="1"/>
        <v>8.8639103271873392</v>
      </c>
      <c r="K59" s="48">
        <f t="shared" si="2"/>
        <v>151.01110420807495</v>
      </c>
    </row>
    <row r="60" spans="2:34" x14ac:dyDescent="0.25">
      <c r="B60" t="str">
        <f t="shared" si="0"/>
        <v>m</v>
      </c>
      <c r="C60" t="s">
        <v>116</v>
      </c>
      <c r="D60">
        <v>9096285</v>
      </c>
      <c r="E60">
        <v>366284</v>
      </c>
      <c r="F60" s="33">
        <v>201.70745356133409</v>
      </c>
      <c r="G60" s="48">
        <v>46.021737376155158</v>
      </c>
      <c r="H60" s="48">
        <v>1.8194107075422454</v>
      </c>
      <c r="I60" s="48">
        <v>0</v>
      </c>
      <c r="J60" s="48">
        <f t="shared" si="1"/>
        <v>1.8194107075422454</v>
      </c>
      <c r="K60" s="48">
        <f t="shared" si="2"/>
        <v>249.54860164503148</v>
      </c>
    </row>
    <row r="61" spans="2:34" x14ac:dyDescent="0.25">
      <c r="B61" t="str">
        <f t="shared" si="0"/>
        <v>m</v>
      </c>
      <c r="C61" t="s">
        <v>115</v>
      </c>
      <c r="D61">
        <v>9112272</v>
      </c>
      <c r="E61">
        <v>342049</v>
      </c>
      <c r="F61" s="33">
        <v>102.24385317314363</v>
      </c>
      <c r="G61" s="48">
        <v>24.530959854329637</v>
      </c>
      <c r="H61" s="48">
        <v>27.302562289401571</v>
      </c>
      <c r="I61" s="48">
        <v>1.9516221314885349</v>
      </c>
      <c r="J61" s="48">
        <f t="shared" si="1"/>
        <v>29.254184420890105</v>
      </c>
      <c r="K61" s="48">
        <f t="shared" si="2"/>
        <v>156.02899744836338</v>
      </c>
    </row>
    <row r="62" spans="2:34" x14ac:dyDescent="0.25">
      <c r="B62" t="str">
        <f t="shared" si="0"/>
        <v>m</v>
      </c>
      <c r="C62" t="s">
        <v>114</v>
      </c>
      <c r="D62">
        <v>9146556</v>
      </c>
      <c r="E62">
        <v>364209</v>
      </c>
      <c r="F62" s="33">
        <v>94.983626642115354</v>
      </c>
      <c r="G62" s="48">
        <v>22.913594729259742</v>
      </c>
      <c r="H62" s="48">
        <v>7.2528251763277485</v>
      </c>
      <c r="I62" s="48">
        <v>0</v>
      </c>
      <c r="J62" s="48">
        <f t="shared" si="1"/>
        <v>7.2528251763277485</v>
      </c>
      <c r="K62" s="48">
        <f t="shared" si="2"/>
        <v>125.15004654770284</v>
      </c>
    </row>
    <row r="63" spans="2:34" x14ac:dyDescent="0.25">
      <c r="B63" t="str">
        <f t="shared" si="0"/>
        <v>m</v>
      </c>
      <c r="C63" t="s">
        <v>113</v>
      </c>
      <c r="D63">
        <v>9113679</v>
      </c>
      <c r="E63">
        <v>342777</v>
      </c>
      <c r="F63" s="33">
        <v>125.68186573339472</v>
      </c>
      <c r="G63" s="48">
        <v>29.697297691914144</v>
      </c>
      <c r="H63" s="48">
        <v>6.2023916330510458</v>
      </c>
      <c r="I63" s="48">
        <v>0</v>
      </c>
      <c r="J63" s="48">
        <f t="shared" si="1"/>
        <v>6.2023916330510458</v>
      </c>
      <c r="K63" s="48">
        <f t="shared" si="2"/>
        <v>161.5815550583599</v>
      </c>
    </row>
    <row r="64" spans="2:34" x14ac:dyDescent="0.25">
      <c r="B64" t="str">
        <f t="shared" si="0"/>
        <v>m</v>
      </c>
      <c r="C64" t="s">
        <v>112</v>
      </c>
      <c r="D64">
        <v>9280012</v>
      </c>
      <c r="E64">
        <v>403706</v>
      </c>
      <c r="F64" s="33">
        <v>85.327408225500434</v>
      </c>
      <c r="G64" s="48">
        <v>20.748107451721253</v>
      </c>
      <c r="H64" s="48">
        <v>8.8156073924922485</v>
      </c>
      <c r="I64" s="48">
        <v>6.0044907578797266</v>
      </c>
      <c r="J64" s="48">
        <f t="shared" si="1"/>
        <v>14.820098150371976</v>
      </c>
      <c r="K64" s="48">
        <f t="shared" si="2"/>
        <v>120.89561382759366</v>
      </c>
    </row>
    <row r="65" spans="2:11" x14ac:dyDescent="0.25">
      <c r="B65" t="str">
        <f t="shared" si="0"/>
        <v>m</v>
      </c>
      <c r="C65" t="s">
        <v>111</v>
      </c>
      <c r="D65">
        <v>9146860</v>
      </c>
      <c r="E65">
        <v>363580</v>
      </c>
      <c r="F65" s="33">
        <v>121.55876136985837</v>
      </c>
      <c r="G65" s="48">
        <v>28.794037743934027</v>
      </c>
      <c r="H65" s="48">
        <v>9.3048597916389841</v>
      </c>
      <c r="I65" s="48">
        <v>0</v>
      </c>
      <c r="J65" s="48">
        <f t="shared" si="1"/>
        <v>9.3048597916389841</v>
      </c>
      <c r="K65" s="48">
        <f t="shared" si="2"/>
        <v>159.65765890543139</v>
      </c>
    </row>
    <row r="66" spans="2:11" x14ac:dyDescent="0.25">
      <c r="B66" t="str">
        <f t="shared" si="0"/>
        <v>m</v>
      </c>
      <c r="C66" t="s">
        <v>110</v>
      </c>
      <c r="D66">
        <v>9097856</v>
      </c>
      <c r="E66">
        <v>367490</v>
      </c>
      <c r="F66" s="33">
        <v>212.87156090881976</v>
      </c>
      <c r="G66" s="48">
        <v>48.375718242582735</v>
      </c>
      <c r="H66" s="48">
        <v>7.1429775709509586</v>
      </c>
      <c r="I66" s="48">
        <v>1.3</v>
      </c>
      <c r="J66" s="48">
        <f t="shared" si="1"/>
        <v>8.4429775709509585</v>
      </c>
      <c r="K66" s="48">
        <f t="shared" si="2"/>
        <v>269.69025672235347</v>
      </c>
    </row>
    <row r="67" spans="2:11" x14ac:dyDescent="0.25">
      <c r="B67" t="str">
        <f t="shared" si="0"/>
        <v>m</v>
      </c>
      <c r="C67" t="s">
        <v>109</v>
      </c>
      <c r="D67">
        <v>9097210</v>
      </c>
      <c r="E67">
        <v>366879</v>
      </c>
      <c r="F67" s="33">
        <v>177.13781679735141</v>
      </c>
      <c r="G67" s="48">
        <v>40.806255039989139</v>
      </c>
      <c r="H67" s="48">
        <v>11.15360461214701</v>
      </c>
      <c r="I67" s="48">
        <v>1.95</v>
      </c>
      <c r="J67" s="48">
        <f t="shared" si="1"/>
        <v>13.103604612147009</v>
      </c>
      <c r="K67" s="48">
        <f t="shared" si="2"/>
        <v>231.04767644948754</v>
      </c>
    </row>
    <row r="68" spans="2:11" x14ac:dyDescent="0.25">
      <c r="F68" s="48"/>
      <c r="G68" s="48"/>
      <c r="H68" s="48"/>
      <c r="I68" s="48"/>
      <c r="J68" s="48"/>
      <c r="K68" s="48"/>
    </row>
    <row r="69" spans="2:11" x14ac:dyDescent="0.25">
      <c r="F69" s="57"/>
      <c r="G69" s="57"/>
      <c r="H69" s="57"/>
      <c r="I69" s="57"/>
    </row>
    <row r="70" spans="2:11" x14ac:dyDescent="0.25">
      <c r="F70" s="48" t="s">
        <v>108</v>
      </c>
      <c r="G70" s="48"/>
      <c r="H70" s="48" t="s">
        <v>108</v>
      </c>
      <c r="I70" s="48" t="s">
        <v>108</v>
      </c>
    </row>
    <row r="71" spans="2:11" x14ac:dyDescent="0.25">
      <c r="F71" s="48" t="s">
        <v>108</v>
      </c>
      <c r="G71" s="48"/>
      <c r="H71" s="48" t="s">
        <v>108</v>
      </c>
      <c r="I71" s="48" t="s">
        <v>108</v>
      </c>
    </row>
    <row r="72" spans="2:11" x14ac:dyDescent="0.25">
      <c r="F72" s="48" t="s">
        <v>108</v>
      </c>
      <c r="G72" s="48"/>
      <c r="H72" s="48" t="s">
        <v>108</v>
      </c>
      <c r="I72" s="48" t="s">
        <v>108</v>
      </c>
    </row>
    <row r="73" spans="2:11" x14ac:dyDescent="0.25">
      <c r="F73" s="48" t="s">
        <v>108</v>
      </c>
      <c r="G73" s="48"/>
      <c r="H73" s="48" t="s">
        <v>108</v>
      </c>
      <c r="I73" s="48" t="s">
        <v>108</v>
      </c>
    </row>
    <row r="74" spans="2:11" x14ac:dyDescent="0.25">
      <c r="F74" s="48" t="s">
        <v>108</v>
      </c>
      <c r="G74" s="48"/>
      <c r="H74" s="48" t="s">
        <v>108</v>
      </c>
      <c r="I74" s="48" t="s">
        <v>108</v>
      </c>
    </row>
    <row r="75" spans="2:11" x14ac:dyDescent="0.25">
      <c r="F75" s="48" t="s">
        <v>108</v>
      </c>
      <c r="G75" s="48"/>
      <c r="H75" s="48" t="s">
        <v>108</v>
      </c>
      <c r="I75" s="48" t="s">
        <v>108</v>
      </c>
    </row>
    <row r="76" spans="2:11" x14ac:dyDescent="0.25">
      <c r="F76" s="48" t="s">
        <v>108</v>
      </c>
      <c r="G76" s="48"/>
      <c r="H76" s="48" t="s">
        <v>108</v>
      </c>
      <c r="I76" s="48" t="s">
        <v>108</v>
      </c>
    </row>
    <row r="77" spans="2:11" x14ac:dyDescent="0.25">
      <c r="F77" s="48" t="s">
        <v>108</v>
      </c>
      <c r="G77" s="48"/>
      <c r="H77" s="48" t="s">
        <v>108</v>
      </c>
      <c r="I77" s="48" t="s">
        <v>108</v>
      </c>
    </row>
    <row r="78" spans="2:11" x14ac:dyDescent="0.25">
      <c r="F78" s="48" t="s">
        <v>108</v>
      </c>
      <c r="G78" s="48"/>
      <c r="H78" s="48" t="s">
        <v>108</v>
      </c>
      <c r="I78" s="48" t="s">
        <v>108</v>
      </c>
    </row>
    <row r="79" spans="2:11" x14ac:dyDescent="0.25">
      <c r="F79" s="48" t="s">
        <v>108</v>
      </c>
      <c r="G79" s="48"/>
      <c r="H79" s="48" t="s">
        <v>108</v>
      </c>
      <c r="I79" s="48" t="s">
        <v>108</v>
      </c>
    </row>
    <row r="80" spans="2:11" x14ac:dyDescent="0.25">
      <c r="F80" s="48" t="s">
        <v>108</v>
      </c>
      <c r="G80" s="48"/>
      <c r="H80" s="48" t="s">
        <v>108</v>
      </c>
      <c r="I80" s="48" t="s">
        <v>108</v>
      </c>
    </row>
    <row r="81" spans="6:9" x14ac:dyDescent="0.25">
      <c r="F81" s="48" t="s">
        <v>108</v>
      </c>
      <c r="G81" s="48"/>
      <c r="H81" s="48" t="s">
        <v>108</v>
      </c>
      <c r="I81" s="48" t="s">
        <v>108</v>
      </c>
    </row>
    <row r="82" spans="6:9" x14ac:dyDescent="0.25">
      <c r="F82" s="48" t="s">
        <v>108</v>
      </c>
      <c r="G82" s="48"/>
      <c r="H82" s="48" t="s">
        <v>108</v>
      </c>
      <c r="I82" s="48" t="s">
        <v>108</v>
      </c>
    </row>
    <row r="83" spans="6:9" x14ac:dyDescent="0.25">
      <c r="F83" s="48" t="s">
        <v>108</v>
      </c>
      <c r="G83" s="48"/>
      <c r="H83" s="48" t="s">
        <v>108</v>
      </c>
      <c r="I83" s="48" t="s">
        <v>108</v>
      </c>
    </row>
    <row r="84" spans="6:9" x14ac:dyDescent="0.25">
      <c r="F84" s="48" t="s">
        <v>108</v>
      </c>
      <c r="G84" s="48"/>
      <c r="H84" s="48" t="s">
        <v>108</v>
      </c>
      <c r="I84" s="48" t="s">
        <v>108</v>
      </c>
    </row>
    <row r="85" spans="6:9" x14ac:dyDescent="0.25">
      <c r="F85" s="48" t="s">
        <v>108</v>
      </c>
      <c r="G85" s="48"/>
      <c r="H85" s="48" t="s">
        <v>108</v>
      </c>
      <c r="I85" s="48" t="s">
        <v>108</v>
      </c>
    </row>
    <row r="86" spans="6:9" x14ac:dyDescent="0.25">
      <c r="F86" s="48" t="s">
        <v>108</v>
      </c>
      <c r="G86" s="48"/>
      <c r="H86" s="48" t="s">
        <v>108</v>
      </c>
      <c r="I86" s="48" t="s">
        <v>108</v>
      </c>
    </row>
    <row r="87" spans="6:9" x14ac:dyDescent="0.25">
      <c r="F87" s="48" t="s">
        <v>108</v>
      </c>
      <c r="G87" s="48"/>
      <c r="H87" s="48" t="s">
        <v>108</v>
      </c>
      <c r="I87" s="48" t="s">
        <v>108</v>
      </c>
    </row>
    <row r="88" spans="6:9" x14ac:dyDescent="0.25">
      <c r="F88" s="48" t="s">
        <v>108</v>
      </c>
      <c r="G88" s="48"/>
      <c r="H88" s="48" t="s">
        <v>108</v>
      </c>
      <c r="I88" s="48" t="s">
        <v>108</v>
      </c>
    </row>
    <row r="89" spans="6:9" x14ac:dyDescent="0.25">
      <c r="F89" s="48" t="s">
        <v>108</v>
      </c>
      <c r="G89" s="48"/>
      <c r="H89" s="48" t="s">
        <v>108</v>
      </c>
      <c r="I89" s="48" t="s">
        <v>108</v>
      </c>
    </row>
    <row r="90" spans="6:9" x14ac:dyDescent="0.25">
      <c r="F90" s="48" t="s">
        <v>108</v>
      </c>
      <c r="G90" s="48"/>
      <c r="H90" s="48" t="s">
        <v>108</v>
      </c>
      <c r="I90" s="48" t="s">
        <v>108</v>
      </c>
    </row>
    <row r="91" spans="6:9" x14ac:dyDescent="0.25">
      <c r="F91" s="48" t="s">
        <v>108</v>
      </c>
      <c r="G91" s="48"/>
      <c r="H91" s="48" t="s">
        <v>108</v>
      </c>
      <c r="I91" s="48" t="s">
        <v>108</v>
      </c>
    </row>
    <row r="92" spans="6:9" x14ac:dyDescent="0.25">
      <c r="F92" s="48" t="s">
        <v>108</v>
      </c>
      <c r="G92" s="48"/>
      <c r="H92" s="48" t="s">
        <v>108</v>
      </c>
      <c r="I92" s="48" t="s">
        <v>108</v>
      </c>
    </row>
    <row r="93" spans="6:9" x14ac:dyDescent="0.25">
      <c r="F93" s="48" t="s">
        <v>108</v>
      </c>
      <c r="G93" s="48"/>
      <c r="H93" s="48" t="s">
        <v>108</v>
      </c>
      <c r="I93" s="48" t="s">
        <v>108</v>
      </c>
    </row>
    <row r="94" spans="6:9" x14ac:dyDescent="0.25">
      <c r="F94" s="48" t="s">
        <v>108</v>
      </c>
      <c r="G94" s="48"/>
      <c r="H94" s="48" t="s">
        <v>108</v>
      </c>
      <c r="I94" s="48" t="s">
        <v>108</v>
      </c>
    </row>
    <row r="95" spans="6:9" x14ac:dyDescent="0.25">
      <c r="F95" s="48" t="s">
        <v>108</v>
      </c>
      <c r="G95" s="48"/>
      <c r="H95" s="48" t="s">
        <v>108</v>
      </c>
      <c r="I95" s="48" t="s">
        <v>108</v>
      </c>
    </row>
    <row r="96" spans="6:9" x14ac:dyDescent="0.25">
      <c r="F96" s="48" t="s">
        <v>108</v>
      </c>
      <c r="G96" s="48"/>
      <c r="H96" s="48" t="s">
        <v>108</v>
      </c>
      <c r="I96" s="48" t="s">
        <v>108</v>
      </c>
    </row>
    <row r="97" spans="6:9" x14ac:dyDescent="0.25">
      <c r="F97" s="48" t="s">
        <v>108</v>
      </c>
      <c r="G97" s="48"/>
      <c r="H97" s="48" t="s">
        <v>108</v>
      </c>
      <c r="I97" s="48" t="s">
        <v>108</v>
      </c>
    </row>
    <row r="98" spans="6:9" x14ac:dyDescent="0.25">
      <c r="F98" s="48" t="s">
        <v>108</v>
      </c>
      <c r="G98" s="48"/>
      <c r="H98" s="48" t="s">
        <v>108</v>
      </c>
      <c r="I98" s="48" t="s">
        <v>108</v>
      </c>
    </row>
    <row r="99" spans="6:9" x14ac:dyDescent="0.25">
      <c r="F99" s="48" t="s">
        <v>108</v>
      </c>
      <c r="G99" s="48"/>
      <c r="H99" s="48" t="s">
        <v>108</v>
      </c>
      <c r="I99" s="48" t="s">
        <v>108</v>
      </c>
    </row>
    <row r="100" spans="6:9" x14ac:dyDescent="0.25">
      <c r="F100" s="48" t="s">
        <v>108</v>
      </c>
      <c r="G100" s="48"/>
      <c r="H100" s="48" t="s">
        <v>108</v>
      </c>
      <c r="I100" s="54" t="s">
        <v>108</v>
      </c>
    </row>
    <row r="101" spans="6:9" x14ac:dyDescent="0.25">
      <c r="F101" s="48" t="s">
        <v>108</v>
      </c>
      <c r="G101" s="48"/>
      <c r="H101" s="48" t="s">
        <v>108</v>
      </c>
      <c r="I101" s="56" t="s">
        <v>108</v>
      </c>
    </row>
    <row r="102" spans="6:9" x14ac:dyDescent="0.25">
      <c r="F102" s="48" t="s">
        <v>108</v>
      </c>
      <c r="G102" s="48"/>
      <c r="H102" s="48" t="s">
        <v>108</v>
      </c>
      <c r="I102" t="s">
        <v>108</v>
      </c>
    </row>
    <row r="103" spans="6:9" x14ac:dyDescent="0.25">
      <c r="F103" s="48" t="s">
        <v>108</v>
      </c>
      <c r="G103" s="48"/>
      <c r="H103" s="48" t="s">
        <v>108</v>
      </c>
      <c r="I103" t="s">
        <v>108</v>
      </c>
    </row>
    <row r="104" spans="6:9" x14ac:dyDescent="0.25">
      <c r="F104" s="48" t="s">
        <v>108</v>
      </c>
      <c r="G104" s="48"/>
      <c r="H104" s="48" t="s">
        <v>108</v>
      </c>
      <c r="I104" s="48" t="s">
        <v>108</v>
      </c>
    </row>
    <row r="105" spans="6:9" x14ac:dyDescent="0.25">
      <c r="F105" s="48" t="s">
        <v>108</v>
      </c>
      <c r="G105" s="48"/>
      <c r="H105" s="48" t="s">
        <v>108</v>
      </c>
      <c r="I105" s="48" t="s">
        <v>108</v>
      </c>
    </row>
    <row r="106" spans="6:9" x14ac:dyDescent="0.25">
      <c r="F106" s="48" t="s">
        <v>108</v>
      </c>
      <c r="G106" s="48"/>
      <c r="H106" s="48" t="s">
        <v>108</v>
      </c>
      <c r="I106" s="55" t="s">
        <v>108</v>
      </c>
    </row>
    <row r="107" spans="6:9" x14ac:dyDescent="0.25">
      <c r="F107" s="48" t="s">
        <v>108</v>
      </c>
      <c r="G107" s="48"/>
      <c r="H107" s="48" t="s">
        <v>108</v>
      </c>
      <c r="I107" s="55" t="s">
        <v>108</v>
      </c>
    </row>
    <row r="108" spans="6:9" x14ac:dyDescent="0.25">
      <c r="F108" s="48" t="s">
        <v>108</v>
      </c>
      <c r="G108" s="48"/>
      <c r="H108" s="54" t="s">
        <v>108</v>
      </c>
      <c r="I108" t="s">
        <v>108</v>
      </c>
    </row>
    <row r="109" spans="6:9" x14ac:dyDescent="0.25">
      <c r="F109" s="48" t="s">
        <v>108</v>
      </c>
      <c r="G109" s="48"/>
      <c r="H109" t="s">
        <v>108</v>
      </c>
      <c r="I109" t="s">
        <v>108</v>
      </c>
    </row>
    <row r="110" spans="6:9" x14ac:dyDescent="0.25">
      <c r="F110" s="48" t="s">
        <v>108</v>
      </c>
      <c r="G110" s="48"/>
      <c r="H110" s="48" t="s">
        <v>108</v>
      </c>
      <c r="I110" t="s">
        <v>108</v>
      </c>
    </row>
    <row r="111" spans="6:9" x14ac:dyDescent="0.25">
      <c r="F111" s="48" t="s">
        <v>108</v>
      </c>
      <c r="G111" s="48"/>
      <c r="H111" s="48" t="s">
        <v>108</v>
      </c>
      <c r="I111" t="s">
        <v>108</v>
      </c>
    </row>
    <row r="112" spans="6:9" x14ac:dyDescent="0.25">
      <c r="F112" s="48" t="s">
        <v>108</v>
      </c>
      <c r="G112" s="48"/>
      <c r="H112" s="48" t="s">
        <v>108</v>
      </c>
      <c r="I112" t="s">
        <v>108</v>
      </c>
    </row>
    <row r="113" spans="6:9" x14ac:dyDescent="0.25">
      <c r="F113" s="48" t="s">
        <v>108</v>
      </c>
      <c r="G113" s="48"/>
      <c r="H113" s="48" t="s">
        <v>108</v>
      </c>
      <c r="I113" t="s">
        <v>108</v>
      </c>
    </row>
    <row r="114" spans="6:9" x14ac:dyDescent="0.25">
      <c r="F114" s="48" t="s">
        <v>108</v>
      </c>
      <c r="G114" s="48"/>
      <c r="H114" s="48" t="s">
        <v>108</v>
      </c>
      <c r="I114" t="s">
        <v>108</v>
      </c>
    </row>
    <row r="115" spans="6:9" x14ac:dyDescent="0.25">
      <c r="F115" s="48" t="s">
        <v>108</v>
      </c>
      <c r="G115" s="48"/>
      <c r="H115" s="48" t="s">
        <v>108</v>
      </c>
      <c r="I115" t="s">
        <v>108</v>
      </c>
    </row>
    <row r="116" spans="6:9" x14ac:dyDescent="0.25">
      <c r="F116" s="48" t="s">
        <v>108</v>
      </c>
      <c r="G116" s="48"/>
      <c r="H116" t="s">
        <v>108</v>
      </c>
      <c r="I116" t="s">
        <v>108</v>
      </c>
    </row>
    <row r="117" spans="6:9" x14ac:dyDescent="0.25">
      <c r="F117" s="48" t="s">
        <v>108</v>
      </c>
      <c r="G117" s="48"/>
      <c r="H117" t="s">
        <v>108</v>
      </c>
      <c r="I117" t="s">
        <v>108</v>
      </c>
    </row>
    <row r="118" spans="6:9" x14ac:dyDescent="0.25">
      <c r="F118" s="48" t="s">
        <v>108</v>
      </c>
      <c r="G118" s="48"/>
      <c r="H118" t="s">
        <v>108</v>
      </c>
      <c r="I118" t="s">
        <v>108</v>
      </c>
    </row>
    <row r="119" spans="6:9" x14ac:dyDescent="0.25">
      <c r="F119" s="48" t="s">
        <v>108</v>
      </c>
      <c r="G119" s="48"/>
      <c r="H119" t="s">
        <v>108</v>
      </c>
      <c r="I119" t="s">
        <v>108</v>
      </c>
    </row>
    <row r="120" spans="6:9" x14ac:dyDescent="0.25">
      <c r="F120" s="48" t="s">
        <v>108</v>
      </c>
      <c r="G120" s="48"/>
      <c r="H120" t="s">
        <v>108</v>
      </c>
      <c r="I120" t="s">
        <v>108</v>
      </c>
    </row>
    <row r="121" spans="6:9" x14ac:dyDescent="0.25">
      <c r="F121" s="48" t="s">
        <v>108</v>
      </c>
      <c r="G121" s="48"/>
      <c r="H121" t="s">
        <v>108</v>
      </c>
      <c r="I121" t="s">
        <v>108</v>
      </c>
    </row>
    <row r="122" spans="6:9" x14ac:dyDescent="0.25">
      <c r="F122" s="48" t="s">
        <v>108</v>
      </c>
      <c r="G122" s="48"/>
      <c r="H122" t="s">
        <v>108</v>
      </c>
      <c r="I122" t="s">
        <v>108</v>
      </c>
    </row>
    <row r="123" spans="6:9" x14ac:dyDescent="0.25">
      <c r="F123" s="48" t="s">
        <v>108</v>
      </c>
      <c r="G123" s="48"/>
      <c r="H123" t="s">
        <v>108</v>
      </c>
      <c r="I123" t="s">
        <v>108</v>
      </c>
    </row>
    <row r="124" spans="6:9" x14ac:dyDescent="0.25">
      <c r="F124" s="48" t="s">
        <v>108</v>
      </c>
      <c r="G124" s="48"/>
      <c r="H124" t="s">
        <v>108</v>
      </c>
      <c r="I124" t="s">
        <v>108</v>
      </c>
    </row>
    <row r="125" spans="6:9" x14ac:dyDescent="0.25">
      <c r="F125" s="48" t="s">
        <v>108</v>
      </c>
      <c r="G125" s="48"/>
      <c r="H125" t="s">
        <v>108</v>
      </c>
      <c r="I125" t="s">
        <v>108</v>
      </c>
    </row>
    <row r="126" spans="6:9" x14ac:dyDescent="0.25">
      <c r="F126" s="48" t="s">
        <v>108</v>
      </c>
      <c r="G126" s="48"/>
      <c r="H126" t="s">
        <v>108</v>
      </c>
      <c r="I126" t="s">
        <v>108</v>
      </c>
    </row>
    <row r="127" spans="6:9" x14ac:dyDescent="0.25">
      <c r="F127" s="48" t="s">
        <v>108</v>
      </c>
      <c r="G127" s="48"/>
      <c r="H127" t="s">
        <v>108</v>
      </c>
      <c r="I127" t="s">
        <v>108</v>
      </c>
    </row>
    <row r="128" spans="6:9" x14ac:dyDescent="0.25">
      <c r="F128" s="48" t="s">
        <v>108</v>
      </c>
      <c r="G128" s="48"/>
      <c r="H128" t="s">
        <v>108</v>
      </c>
      <c r="I128" t="s">
        <v>108</v>
      </c>
    </row>
    <row r="129" spans="6:9" x14ac:dyDescent="0.25">
      <c r="F129" s="48" t="s">
        <v>108</v>
      </c>
      <c r="G129" s="48"/>
      <c r="H129" t="s">
        <v>108</v>
      </c>
      <c r="I129" t="s">
        <v>108</v>
      </c>
    </row>
    <row r="130" spans="6:9" x14ac:dyDescent="0.25">
      <c r="F130" t="s">
        <v>108</v>
      </c>
      <c r="H130" t="s">
        <v>108</v>
      </c>
      <c r="I130" t="s">
        <v>108</v>
      </c>
    </row>
    <row r="131" spans="6:9" x14ac:dyDescent="0.25">
      <c r="F131" t="s">
        <v>108</v>
      </c>
      <c r="H131" t="s">
        <v>108</v>
      </c>
      <c r="I131" t="s">
        <v>108</v>
      </c>
    </row>
    <row r="132" spans="6:9" x14ac:dyDescent="0.25">
      <c r="F132" t="s">
        <v>108</v>
      </c>
      <c r="H132" t="s">
        <v>108</v>
      </c>
      <c r="I132" t="s">
        <v>108</v>
      </c>
    </row>
    <row r="133" spans="6:9" x14ac:dyDescent="0.25">
      <c r="F133" t="s">
        <v>108</v>
      </c>
      <c r="H133" t="s">
        <v>108</v>
      </c>
      <c r="I133" t="s">
        <v>108</v>
      </c>
    </row>
    <row r="134" spans="6:9" x14ac:dyDescent="0.25">
      <c r="F134" t="s">
        <v>108</v>
      </c>
      <c r="H134" t="s">
        <v>108</v>
      </c>
      <c r="I134" t="s">
        <v>108</v>
      </c>
    </row>
    <row r="135" spans="6:9" x14ac:dyDescent="0.25">
      <c r="F135" t="s">
        <v>108</v>
      </c>
      <c r="H135" t="s">
        <v>108</v>
      </c>
      <c r="I135" t="s">
        <v>108</v>
      </c>
    </row>
    <row r="136" spans="6:9" x14ac:dyDescent="0.25">
      <c r="F136" t="s">
        <v>108</v>
      </c>
      <c r="H136" t="s">
        <v>108</v>
      </c>
      <c r="I136" t="s">
        <v>108</v>
      </c>
    </row>
    <row r="137" spans="6:9" x14ac:dyDescent="0.25">
      <c r="F137" t="s">
        <v>108</v>
      </c>
      <c r="H137" t="s">
        <v>108</v>
      </c>
      <c r="I137" t="s">
        <v>108</v>
      </c>
    </row>
    <row r="138" spans="6:9" x14ac:dyDescent="0.25">
      <c r="F138" t="s">
        <v>108</v>
      </c>
      <c r="H138" t="s">
        <v>108</v>
      </c>
      <c r="I138" t="s">
        <v>108</v>
      </c>
    </row>
    <row r="139" spans="6:9" x14ac:dyDescent="0.25">
      <c r="F139" t="s">
        <v>108</v>
      </c>
      <c r="H139" t="s">
        <v>108</v>
      </c>
      <c r="I139" t="s">
        <v>108</v>
      </c>
    </row>
    <row r="140" spans="6:9" x14ac:dyDescent="0.25">
      <c r="F140" t="s">
        <v>108</v>
      </c>
      <c r="H140" t="s">
        <v>108</v>
      </c>
      <c r="I140" t="s">
        <v>108</v>
      </c>
    </row>
    <row r="141" spans="6:9" x14ac:dyDescent="0.25">
      <c r="F141" t="s">
        <v>108</v>
      </c>
      <c r="H141" t="s">
        <v>108</v>
      </c>
      <c r="I141" t="s">
        <v>108</v>
      </c>
    </row>
    <row r="142" spans="6:9" x14ac:dyDescent="0.25">
      <c r="F142" t="s">
        <v>108</v>
      </c>
      <c r="H142" t="s">
        <v>108</v>
      </c>
      <c r="I142" t="s">
        <v>108</v>
      </c>
    </row>
    <row r="143" spans="6:9" x14ac:dyDescent="0.25">
      <c r="F143" t="s">
        <v>108</v>
      </c>
      <c r="H143" t="s">
        <v>108</v>
      </c>
      <c r="I143" t="s">
        <v>108</v>
      </c>
    </row>
    <row r="144" spans="6:9" x14ac:dyDescent="0.25">
      <c r="F144" t="s">
        <v>108</v>
      </c>
      <c r="H144" t="s">
        <v>108</v>
      </c>
      <c r="I144" t="s">
        <v>108</v>
      </c>
    </row>
    <row r="145" spans="6:9" x14ac:dyDescent="0.25">
      <c r="F145" t="s">
        <v>108</v>
      </c>
      <c r="H145" t="s">
        <v>108</v>
      </c>
      <c r="I145" t="s">
        <v>108</v>
      </c>
    </row>
    <row r="146" spans="6:9" x14ac:dyDescent="0.25">
      <c r="F146" t="s">
        <v>108</v>
      </c>
      <c r="H146" t="s">
        <v>108</v>
      </c>
      <c r="I146" t="s">
        <v>108</v>
      </c>
    </row>
    <row r="147" spans="6:9" x14ac:dyDescent="0.25">
      <c r="F147" t="s">
        <v>108</v>
      </c>
      <c r="H147" t="s">
        <v>108</v>
      </c>
      <c r="I147" t="s">
        <v>108</v>
      </c>
    </row>
    <row r="148" spans="6:9" x14ac:dyDescent="0.25">
      <c r="F148" t="s">
        <v>108</v>
      </c>
      <c r="H148" t="s">
        <v>108</v>
      </c>
      <c r="I148" t="s">
        <v>108</v>
      </c>
    </row>
    <row r="149" spans="6:9" x14ac:dyDescent="0.25">
      <c r="F149" t="s">
        <v>108</v>
      </c>
      <c r="H149" t="s">
        <v>108</v>
      </c>
      <c r="I149" t="s">
        <v>108</v>
      </c>
    </row>
    <row r="150" spans="6:9" x14ac:dyDescent="0.25">
      <c r="F150" t="s">
        <v>108</v>
      </c>
      <c r="H150" t="s">
        <v>108</v>
      </c>
      <c r="I150" t="s">
        <v>108</v>
      </c>
    </row>
    <row r="151" spans="6:9" x14ac:dyDescent="0.25">
      <c r="F151" t="s">
        <v>108</v>
      </c>
      <c r="H151" t="s">
        <v>108</v>
      </c>
      <c r="I151" t="s">
        <v>108</v>
      </c>
    </row>
    <row r="152" spans="6:9" x14ac:dyDescent="0.25">
      <c r="F152" t="s">
        <v>108</v>
      </c>
      <c r="H152" t="s">
        <v>108</v>
      </c>
      <c r="I152" t="s">
        <v>108</v>
      </c>
    </row>
    <row r="153" spans="6:9" x14ac:dyDescent="0.25">
      <c r="F153" t="s">
        <v>108</v>
      </c>
      <c r="H153" t="s">
        <v>108</v>
      </c>
      <c r="I153" t="s">
        <v>108</v>
      </c>
    </row>
    <row r="154" spans="6:9" x14ac:dyDescent="0.25">
      <c r="F154" t="s">
        <v>108</v>
      </c>
      <c r="H154" t="s">
        <v>108</v>
      </c>
      <c r="I154" t="s">
        <v>108</v>
      </c>
    </row>
    <row r="155" spans="6:9" x14ac:dyDescent="0.25">
      <c r="F155" t="s">
        <v>108</v>
      </c>
      <c r="H155" t="s">
        <v>108</v>
      </c>
      <c r="I155" t="s">
        <v>108</v>
      </c>
    </row>
    <row r="156" spans="6:9" x14ac:dyDescent="0.25">
      <c r="F156" t="s">
        <v>108</v>
      </c>
      <c r="H156" t="s">
        <v>108</v>
      </c>
      <c r="I156" t="s">
        <v>108</v>
      </c>
    </row>
    <row r="157" spans="6:9" x14ac:dyDescent="0.25">
      <c r="F157" t="s">
        <v>108</v>
      </c>
      <c r="H157" t="s">
        <v>108</v>
      </c>
      <c r="I157" t="s">
        <v>108</v>
      </c>
    </row>
    <row r="158" spans="6:9" x14ac:dyDescent="0.25">
      <c r="F158" t="s">
        <v>108</v>
      </c>
      <c r="H158" t="s">
        <v>108</v>
      </c>
      <c r="I158" t="s">
        <v>108</v>
      </c>
    </row>
    <row r="159" spans="6:9" x14ac:dyDescent="0.25">
      <c r="F159" t="s">
        <v>108</v>
      </c>
      <c r="H159" t="s">
        <v>108</v>
      </c>
      <c r="I159" t="s">
        <v>108</v>
      </c>
    </row>
    <row r="160" spans="6:9" x14ac:dyDescent="0.25">
      <c r="F160" t="s">
        <v>108</v>
      </c>
      <c r="H160" t="s">
        <v>108</v>
      </c>
      <c r="I160" t="s">
        <v>108</v>
      </c>
    </row>
    <row r="161" spans="6:9" x14ac:dyDescent="0.25">
      <c r="F161" t="s">
        <v>108</v>
      </c>
      <c r="H161" t="s">
        <v>108</v>
      </c>
      <c r="I161" t="s">
        <v>108</v>
      </c>
    </row>
    <row r="162" spans="6:9" x14ac:dyDescent="0.25">
      <c r="F162" t="s">
        <v>108</v>
      </c>
      <c r="H162" t="s">
        <v>108</v>
      </c>
      <c r="I162" t="s">
        <v>108</v>
      </c>
    </row>
    <row r="163" spans="6:9" x14ac:dyDescent="0.25">
      <c r="F163" t="s">
        <v>108</v>
      </c>
      <c r="H163" t="s">
        <v>108</v>
      </c>
      <c r="I163" t="s">
        <v>108</v>
      </c>
    </row>
    <row r="164" spans="6:9" x14ac:dyDescent="0.25">
      <c r="F164" t="s">
        <v>108</v>
      </c>
      <c r="H164" t="s">
        <v>108</v>
      </c>
      <c r="I164" t="s">
        <v>108</v>
      </c>
    </row>
    <row r="165" spans="6:9" x14ac:dyDescent="0.25">
      <c r="F165" t="s">
        <v>108</v>
      </c>
      <c r="H165" t="s">
        <v>108</v>
      </c>
      <c r="I165" t="s">
        <v>108</v>
      </c>
    </row>
    <row r="166" spans="6:9" x14ac:dyDescent="0.25">
      <c r="F166" t="s">
        <v>108</v>
      </c>
      <c r="H166" t="s">
        <v>108</v>
      </c>
      <c r="I166" t="s">
        <v>108</v>
      </c>
    </row>
    <row r="167" spans="6:9" x14ac:dyDescent="0.25">
      <c r="F167" t="s">
        <v>108</v>
      </c>
      <c r="H167" t="s">
        <v>108</v>
      </c>
      <c r="I167" t="s">
        <v>108</v>
      </c>
    </row>
    <row r="168" spans="6:9" x14ac:dyDescent="0.25">
      <c r="F168" t="s">
        <v>108</v>
      </c>
      <c r="H168" t="s">
        <v>108</v>
      </c>
      <c r="I168" t="s">
        <v>108</v>
      </c>
    </row>
    <row r="169" spans="6:9" x14ac:dyDescent="0.25">
      <c r="F169" t="s">
        <v>108</v>
      </c>
      <c r="H169" t="s">
        <v>108</v>
      </c>
      <c r="I169" t="s">
        <v>108</v>
      </c>
    </row>
    <row r="170" spans="6:9" x14ac:dyDescent="0.25">
      <c r="F170" t="s">
        <v>108</v>
      </c>
      <c r="H170" t="s">
        <v>108</v>
      </c>
      <c r="I170" t="s">
        <v>108</v>
      </c>
    </row>
    <row r="171" spans="6:9" x14ac:dyDescent="0.25">
      <c r="F171" t="s">
        <v>108</v>
      </c>
      <c r="H171" t="s">
        <v>108</v>
      </c>
      <c r="I171" t="s">
        <v>108</v>
      </c>
    </row>
    <row r="172" spans="6:9" x14ac:dyDescent="0.25">
      <c r="F172" t="s">
        <v>108</v>
      </c>
      <c r="H172" t="s">
        <v>108</v>
      </c>
      <c r="I172" t="s">
        <v>108</v>
      </c>
    </row>
    <row r="173" spans="6:9" x14ac:dyDescent="0.25">
      <c r="F173" t="s">
        <v>108</v>
      </c>
      <c r="H173" t="s">
        <v>108</v>
      </c>
      <c r="I173" t="s">
        <v>108</v>
      </c>
    </row>
    <row r="174" spans="6:9" x14ac:dyDescent="0.25">
      <c r="F174" t="s">
        <v>108</v>
      </c>
      <c r="H174" t="s">
        <v>108</v>
      </c>
      <c r="I174" t="s">
        <v>108</v>
      </c>
    </row>
    <row r="175" spans="6:9" x14ac:dyDescent="0.25">
      <c r="F175" t="s">
        <v>108</v>
      </c>
      <c r="H175" t="s">
        <v>108</v>
      </c>
      <c r="I175" t="s">
        <v>108</v>
      </c>
    </row>
    <row r="176" spans="6:9" x14ac:dyDescent="0.25">
      <c r="F176" t="s">
        <v>108</v>
      </c>
      <c r="H176" t="s">
        <v>108</v>
      </c>
      <c r="I176" t="s">
        <v>108</v>
      </c>
    </row>
    <row r="177" spans="6:9" x14ac:dyDescent="0.25">
      <c r="F177" t="s">
        <v>108</v>
      </c>
      <c r="H177" t="s">
        <v>108</v>
      </c>
      <c r="I177" t="s">
        <v>108</v>
      </c>
    </row>
    <row r="178" spans="6:9" x14ac:dyDescent="0.25">
      <c r="F178" t="s">
        <v>108</v>
      </c>
      <c r="H178" t="s">
        <v>108</v>
      </c>
      <c r="I178" t="s">
        <v>108</v>
      </c>
    </row>
    <row r="179" spans="6:9" x14ac:dyDescent="0.25">
      <c r="F179" t="s">
        <v>108</v>
      </c>
      <c r="H179" t="s">
        <v>108</v>
      </c>
      <c r="I179" t="s">
        <v>108</v>
      </c>
    </row>
    <row r="180" spans="6:9" x14ac:dyDescent="0.25">
      <c r="F180" t="s">
        <v>108</v>
      </c>
      <c r="H180" t="s">
        <v>108</v>
      </c>
      <c r="I180" t="s">
        <v>108</v>
      </c>
    </row>
    <row r="181" spans="6:9" x14ac:dyDescent="0.25">
      <c r="F181" t="s">
        <v>108</v>
      </c>
      <c r="H181" t="s">
        <v>108</v>
      </c>
      <c r="I181" t="s">
        <v>108</v>
      </c>
    </row>
    <row r="182" spans="6:9" x14ac:dyDescent="0.25">
      <c r="F182" t="s">
        <v>108</v>
      </c>
      <c r="H182" t="s">
        <v>108</v>
      </c>
      <c r="I182" t="s">
        <v>108</v>
      </c>
    </row>
    <row r="183" spans="6:9" x14ac:dyDescent="0.25">
      <c r="F183" t="s">
        <v>108</v>
      </c>
      <c r="H183" t="s">
        <v>108</v>
      </c>
      <c r="I183" t="s">
        <v>108</v>
      </c>
    </row>
    <row r="184" spans="6:9" x14ac:dyDescent="0.25">
      <c r="F184" t="s">
        <v>108</v>
      </c>
      <c r="H184" t="s">
        <v>108</v>
      </c>
      <c r="I184" t="s">
        <v>108</v>
      </c>
    </row>
    <row r="185" spans="6:9" x14ac:dyDescent="0.25">
      <c r="F185" t="s">
        <v>108</v>
      </c>
      <c r="H185" t="s">
        <v>108</v>
      </c>
      <c r="I185" t="s">
        <v>108</v>
      </c>
    </row>
    <row r="186" spans="6:9" x14ac:dyDescent="0.25">
      <c r="F186" t="s">
        <v>108</v>
      </c>
      <c r="H186" t="s">
        <v>108</v>
      </c>
      <c r="I186" t="s">
        <v>108</v>
      </c>
    </row>
    <row r="187" spans="6:9" x14ac:dyDescent="0.25">
      <c r="F187" t="s">
        <v>108</v>
      </c>
      <c r="H187" t="s">
        <v>108</v>
      </c>
      <c r="I187" t="s">
        <v>108</v>
      </c>
    </row>
    <row r="188" spans="6:9" x14ac:dyDescent="0.25">
      <c r="F188" t="s">
        <v>108</v>
      </c>
      <c r="H188" t="s">
        <v>108</v>
      </c>
      <c r="I188" t="s">
        <v>108</v>
      </c>
    </row>
    <row r="189" spans="6:9" x14ac:dyDescent="0.25">
      <c r="F189" t="s">
        <v>108</v>
      </c>
      <c r="H189" t="s">
        <v>108</v>
      </c>
      <c r="I189" t="s">
        <v>108</v>
      </c>
    </row>
    <row r="190" spans="6:9" x14ac:dyDescent="0.25">
      <c r="F190" t="s">
        <v>108</v>
      </c>
      <c r="H190" t="s">
        <v>108</v>
      </c>
      <c r="I190" t="s">
        <v>108</v>
      </c>
    </row>
    <row r="191" spans="6:9" x14ac:dyDescent="0.25">
      <c r="F191" t="s">
        <v>108</v>
      </c>
      <c r="H191" t="s">
        <v>108</v>
      </c>
      <c r="I191" t="s">
        <v>108</v>
      </c>
    </row>
    <row r="192" spans="6:9" x14ac:dyDescent="0.25">
      <c r="F192" t="s">
        <v>108</v>
      </c>
      <c r="H192" t="s">
        <v>108</v>
      </c>
      <c r="I192" t="s">
        <v>108</v>
      </c>
    </row>
    <row r="193" spans="6:9" x14ac:dyDescent="0.25">
      <c r="F193" t="s">
        <v>108</v>
      </c>
      <c r="H193" t="s">
        <v>108</v>
      </c>
      <c r="I193" t="s">
        <v>108</v>
      </c>
    </row>
    <row r="194" spans="6:9" x14ac:dyDescent="0.25">
      <c r="F194" t="s">
        <v>108</v>
      </c>
      <c r="H194" t="s">
        <v>108</v>
      </c>
      <c r="I194" t="s">
        <v>108</v>
      </c>
    </row>
    <row r="195" spans="6:9" x14ac:dyDescent="0.25">
      <c r="F195" t="s">
        <v>108</v>
      </c>
      <c r="H195" t="s">
        <v>108</v>
      </c>
      <c r="I195" t="s">
        <v>108</v>
      </c>
    </row>
    <row r="196" spans="6:9" x14ac:dyDescent="0.25">
      <c r="F196" t="s">
        <v>108</v>
      </c>
      <c r="H196" t="s">
        <v>108</v>
      </c>
      <c r="I196" t="s">
        <v>108</v>
      </c>
    </row>
    <row r="197" spans="6:9" x14ac:dyDescent="0.25">
      <c r="F197" t="s">
        <v>108</v>
      </c>
      <c r="H197" t="s">
        <v>108</v>
      </c>
      <c r="I197" t="s">
        <v>108</v>
      </c>
    </row>
    <row r="198" spans="6:9" x14ac:dyDescent="0.25">
      <c r="F198" t="s">
        <v>108</v>
      </c>
      <c r="H198" t="s">
        <v>108</v>
      </c>
      <c r="I198" t="s">
        <v>108</v>
      </c>
    </row>
    <row r="199" spans="6:9" x14ac:dyDescent="0.25">
      <c r="F199" t="s">
        <v>108</v>
      </c>
      <c r="H199" t="s">
        <v>108</v>
      </c>
      <c r="I199" t="s">
        <v>108</v>
      </c>
    </row>
    <row r="200" spans="6:9" x14ac:dyDescent="0.25">
      <c r="F200" t="s">
        <v>108</v>
      </c>
      <c r="H200" t="s">
        <v>108</v>
      </c>
      <c r="I200" t="s">
        <v>108</v>
      </c>
    </row>
    <row r="201" spans="6:9" x14ac:dyDescent="0.25">
      <c r="F201" t="s">
        <v>108</v>
      </c>
      <c r="H201" t="s">
        <v>108</v>
      </c>
      <c r="I201" t="s">
        <v>108</v>
      </c>
    </row>
    <row r="202" spans="6:9" x14ac:dyDescent="0.25">
      <c r="F202" t="s">
        <v>108</v>
      </c>
      <c r="H202" t="s">
        <v>108</v>
      </c>
      <c r="I202" t="s">
        <v>108</v>
      </c>
    </row>
    <row r="203" spans="6:9" x14ac:dyDescent="0.25">
      <c r="F203" t="s">
        <v>108</v>
      </c>
      <c r="H203" t="s">
        <v>108</v>
      </c>
      <c r="I203" t="s">
        <v>108</v>
      </c>
    </row>
    <row r="204" spans="6:9" x14ac:dyDescent="0.25">
      <c r="F204" t="s">
        <v>108</v>
      </c>
      <c r="H204" t="s">
        <v>108</v>
      </c>
      <c r="I204" t="s">
        <v>108</v>
      </c>
    </row>
    <row r="205" spans="6:9" x14ac:dyDescent="0.25">
      <c r="F205" t="s">
        <v>108</v>
      </c>
      <c r="H205" t="s">
        <v>108</v>
      </c>
      <c r="I205" t="s">
        <v>108</v>
      </c>
    </row>
    <row r="206" spans="6:9" x14ac:dyDescent="0.25">
      <c r="F206" t="s">
        <v>108</v>
      </c>
      <c r="H206" t="s">
        <v>108</v>
      </c>
      <c r="I206" t="s">
        <v>108</v>
      </c>
    </row>
    <row r="207" spans="6:9" x14ac:dyDescent="0.25">
      <c r="F207" t="s">
        <v>108</v>
      </c>
      <c r="H207" t="s">
        <v>108</v>
      </c>
      <c r="I207" t="s">
        <v>108</v>
      </c>
    </row>
    <row r="208" spans="6:9" x14ac:dyDescent="0.25">
      <c r="F208" t="s">
        <v>108</v>
      </c>
      <c r="H208" t="s">
        <v>108</v>
      </c>
      <c r="I208" t="s">
        <v>108</v>
      </c>
    </row>
    <row r="209" spans="6:9" x14ac:dyDescent="0.25">
      <c r="F209" t="s">
        <v>108</v>
      </c>
      <c r="H209" t="s">
        <v>108</v>
      </c>
      <c r="I209" t="s">
        <v>108</v>
      </c>
    </row>
    <row r="210" spans="6:9" x14ac:dyDescent="0.25">
      <c r="F210" t="s">
        <v>108</v>
      </c>
      <c r="H210" t="s">
        <v>108</v>
      </c>
      <c r="I210" t="s">
        <v>108</v>
      </c>
    </row>
    <row r="211" spans="6:9" x14ac:dyDescent="0.25">
      <c r="F211" t="s">
        <v>108</v>
      </c>
      <c r="H211" t="s">
        <v>108</v>
      </c>
      <c r="I211" t="s">
        <v>108</v>
      </c>
    </row>
    <row r="212" spans="6:9" x14ac:dyDescent="0.25">
      <c r="F212" t="s">
        <v>108</v>
      </c>
      <c r="H212" t="s">
        <v>108</v>
      </c>
      <c r="I212" t="s">
        <v>108</v>
      </c>
    </row>
    <row r="213" spans="6:9" x14ac:dyDescent="0.25">
      <c r="F213" t="s">
        <v>108</v>
      </c>
      <c r="H213" t="s">
        <v>108</v>
      </c>
      <c r="I213" t="s">
        <v>108</v>
      </c>
    </row>
    <row r="214" spans="6:9" x14ac:dyDescent="0.25">
      <c r="F214" t="s">
        <v>108</v>
      </c>
      <c r="H214" t="s">
        <v>108</v>
      </c>
      <c r="I214" t="s">
        <v>108</v>
      </c>
    </row>
    <row r="215" spans="6:9" x14ac:dyDescent="0.25">
      <c r="F215" t="s">
        <v>108</v>
      </c>
      <c r="H215" t="s">
        <v>108</v>
      </c>
      <c r="I215" t="s">
        <v>108</v>
      </c>
    </row>
    <row r="216" spans="6:9" x14ac:dyDescent="0.25">
      <c r="F216" t="s">
        <v>108</v>
      </c>
      <c r="H216" t="s">
        <v>108</v>
      </c>
      <c r="I216" t="s">
        <v>108</v>
      </c>
    </row>
    <row r="217" spans="6:9" x14ac:dyDescent="0.25">
      <c r="F217" t="s">
        <v>108</v>
      </c>
      <c r="H217" t="s">
        <v>108</v>
      </c>
      <c r="I217" t="s">
        <v>108</v>
      </c>
    </row>
    <row r="218" spans="6:9" x14ac:dyDescent="0.25">
      <c r="F218" t="s">
        <v>108</v>
      </c>
      <c r="H218" t="s">
        <v>108</v>
      </c>
      <c r="I218" t="s">
        <v>108</v>
      </c>
    </row>
    <row r="219" spans="6:9" x14ac:dyDescent="0.25">
      <c r="F219" t="s">
        <v>108</v>
      </c>
      <c r="H219" t="s">
        <v>108</v>
      </c>
      <c r="I219" t="s">
        <v>108</v>
      </c>
    </row>
    <row r="220" spans="6:9" x14ac:dyDescent="0.25">
      <c r="F220" t="s">
        <v>108</v>
      </c>
      <c r="H220" t="s">
        <v>108</v>
      </c>
      <c r="I220" t="s">
        <v>108</v>
      </c>
    </row>
    <row r="221" spans="6:9" x14ac:dyDescent="0.25">
      <c r="F221" t="s">
        <v>108</v>
      </c>
      <c r="H221" t="s">
        <v>108</v>
      </c>
      <c r="I221" t="s">
        <v>108</v>
      </c>
    </row>
    <row r="222" spans="6:9" x14ac:dyDescent="0.25">
      <c r="F222" t="s">
        <v>108</v>
      </c>
      <c r="H222" t="s">
        <v>108</v>
      </c>
      <c r="I222" t="s">
        <v>108</v>
      </c>
    </row>
    <row r="223" spans="6:9" x14ac:dyDescent="0.25">
      <c r="F223" t="s">
        <v>108</v>
      </c>
      <c r="H223" t="s">
        <v>108</v>
      </c>
      <c r="I223" t="s">
        <v>108</v>
      </c>
    </row>
    <row r="224" spans="6:9" x14ac:dyDescent="0.25">
      <c r="F224" t="s">
        <v>108</v>
      </c>
      <c r="H224" t="s">
        <v>108</v>
      </c>
      <c r="I224" t="s">
        <v>108</v>
      </c>
    </row>
    <row r="225" spans="6:9" x14ac:dyDescent="0.25">
      <c r="F225" t="s">
        <v>108</v>
      </c>
      <c r="H225" t="s">
        <v>108</v>
      </c>
      <c r="I225" t="s">
        <v>108</v>
      </c>
    </row>
    <row r="226" spans="6:9" x14ac:dyDescent="0.25">
      <c r="F226" t="s">
        <v>108</v>
      </c>
      <c r="H226" t="s">
        <v>108</v>
      </c>
      <c r="I226" t="s">
        <v>108</v>
      </c>
    </row>
    <row r="227" spans="6:9" x14ac:dyDescent="0.25">
      <c r="F227" t="s">
        <v>108</v>
      </c>
      <c r="H227" t="s">
        <v>108</v>
      </c>
      <c r="I227" t="s">
        <v>108</v>
      </c>
    </row>
    <row r="228" spans="6:9" x14ac:dyDescent="0.25">
      <c r="F228" t="s">
        <v>108</v>
      </c>
      <c r="H228" t="s">
        <v>108</v>
      </c>
      <c r="I228" t="s">
        <v>108</v>
      </c>
    </row>
    <row r="229" spans="6:9" x14ac:dyDescent="0.25">
      <c r="F229" t="s">
        <v>108</v>
      </c>
      <c r="H229" t="s">
        <v>108</v>
      </c>
      <c r="I229" t="s">
        <v>108</v>
      </c>
    </row>
    <row r="230" spans="6:9" x14ac:dyDescent="0.25">
      <c r="F230" t="s">
        <v>108</v>
      </c>
      <c r="H230" t="s">
        <v>108</v>
      </c>
      <c r="I230" t="s">
        <v>108</v>
      </c>
    </row>
    <row r="231" spans="6:9" x14ac:dyDescent="0.25">
      <c r="F231" t="s">
        <v>108</v>
      </c>
      <c r="H231" t="s">
        <v>108</v>
      </c>
      <c r="I231" t="s">
        <v>108</v>
      </c>
    </row>
    <row r="232" spans="6:9" x14ac:dyDescent="0.25">
      <c r="F232" t="s">
        <v>108</v>
      </c>
      <c r="H232" t="s">
        <v>108</v>
      </c>
      <c r="I232" t="s">
        <v>108</v>
      </c>
    </row>
    <row r="233" spans="6:9" x14ac:dyDescent="0.25">
      <c r="F233" t="s">
        <v>108</v>
      </c>
      <c r="H233" t="s">
        <v>108</v>
      </c>
      <c r="I233" t="s">
        <v>108</v>
      </c>
    </row>
    <row r="234" spans="6:9" x14ac:dyDescent="0.25">
      <c r="F234" t="s">
        <v>108</v>
      </c>
      <c r="H234" t="s">
        <v>108</v>
      </c>
      <c r="I234" t="s">
        <v>108</v>
      </c>
    </row>
    <row r="235" spans="6:9" x14ac:dyDescent="0.25">
      <c r="F235" t="s">
        <v>108</v>
      </c>
      <c r="H235" t="s">
        <v>108</v>
      </c>
      <c r="I235" t="s">
        <v>108</v>
      </c>
    </row>
    <row r="236" spans="6:9" x14ac:dyDescent="0.25">
      <c r="F236" t="s">
        <v>108</v>
      </c>
      <c r="H236" t="s">
        <v>108</v>
      </c>
      <c r="I236" t="s">
        <v>108</v>
      </c>
    </row>
    <row r="237" spans="6:9" x14ac:dyDescent="0.25">
      <c r="F237" t="s">
        <v>108</v>
      </c>
      <c r="H237" t="s">
        <v>108</v>
      </c>
      <c r="I237" t="s">
        <v>108</v>
      </c>
    </row>
    <row r="238" spans="6:9" x14ac:dyDescent="0.25">
      <c r="F238" t="s">
        <v>108</v>
      </c>
      <c r="H238" t="s">
        <v>108</v>
      </c>
      <c r="I238" t="s">
        <v>108</v>
      </c>
    </row>
    <row r="239" spans="6:9" x14ac:dyDescent="0.25">
      <c r="F239" t="s">
        <v>108</v>
      </c>
      <c r="H239" t="s">
        <v>108</v>
      </c>
      <c r="I239" t="s">
        <v>108</v>
      </c>
    </row>
    <row r="240" spans="6:9" x14ac:dyDescent="0.25">
      <c r="F240" t="s">
        <v>108</v>
      </c>
      <c r="H240" t="s">
        <v>108</v>
      </c>
      <c r="I240" t="s">
        <v>108</v>
      </c>
    </row>
    <row r="241" spans="6:9" x14ac:dyDescent="0.25">
      <c r="F241" t="s">
        <v>108</v>
      </c>
      <c r="H241" t="s">
        <v>108</v>
      </c>
      <c r="I241" t="s">
        <v>108</v>
      </c>
    </row>
    <row r="242" spans="6:9" x14ac:dyDescent="0.25">
      <c r="F242" t="s">
        <v>108</v>
      </c>
      <c r="H242" t="s">
        <v>108</v>
      </c>
      <c r="I242" t="s">
        <v>108</v>
      </c>
    </row>
    <row r="243" spans="6:9" x14ac:dyDescent="0.25">
      <c r="F243" t="s">
        <v>108</v>
      </c>
      <c r="H243" t="s">
        <v>108</v>
      </c>
      <c r="I243" t="s">
        <v>108</v>
      </c>
    </row>
    <row r="244" spans="6:9" x14ac:dyDescent="0.25">
      <c r="F244" t="s">
        <v>108</v>
      </c>
      <c r="H244" t="s">
        <v>108</v>
      </c>
      <c r="I244" t="s">
        <v>108</v>
      </c>
    </row>
    <row r="245" spans="6:9" x14ac:dyDescent="0.25">
      <c r="F245" t="s">
        <v>108</v>
      </c>
      <c r="H245" t="s">
        <v>108</v>
      </c>
      <c r="I245" t="s">
        <v>108</v>
      </c>
    </row>
    <row r="246" spans="6:9" x14ac:dyDescent="0.25">
      <c r="F246" t="s">
        <v>108</v>
      </c>
      <c r="H246" t="s">
        <v>108</v>
      </c>
      <c r="I246" t="s">
        <v>108</v>
      </c>
    </row>
    <row r="247" spans="6:9" x14ac:dyDescent="0.25">
      <c r="F247" t="s">
        <v>108</v>
      </c>
      <c r="H247" t="s">
        <v>108</v>
      </c>
      <c r="I247" t="s">
        <v>108</v>
      </c>
    </row>
    <row r="248" spans="6:9" x14ac:dyDescent="0.25">
      <c r="F248" t="s">
        <v>108</v>
      </c>
      <c r="H248" t="s">
        <v>108</v>
      </c>
      <c r="I248" t="s">
        <v>108</v>
      </c>
    </row>
    <row r="249" spans="6:9" x14ac:dyDescent="0.25">
      <c r="F249" t="s">
        <v>108</v>
      </c>
      <c r="H249" t="s">
        <v>108</v>
      </c>
      <c r="I249" t="s">
        <v>108</v>
      </c>
    </row>
    <row r="250" spans="6:9" x14ac:dyDescent="0.25">
      <c r="F250" t="s">
        <v>108</v>
      </c>
      <c r="H250" t="s">
        <v>108</v>
      </c>
      <c r="I250" t="s">
        <v>108</v>
      </c>
    </row>
    <row r="251" spans="6:9" x14ac:dyDescent="0.25">
      <c r="F251" t="s">
        <v>108</v>
      </c>
      <c r="H251" t="s">
        <v>108</v>
      </c>
      <c r="I251" t="s">
        <v>108</v>
      </c>
    </row>
    <row r="252" spans="6:9" x14ac:dyDescent="0.25">
      <c r="F252" t="s">
        <v>108</v>
      </c>
      <c r="H252" t="s">
        <v>108</v>
      </c>
      <c r="I252" t="s">
        <v>108</v>
      </c>
    </row>
    <row r="253" spans="6:9" x14ac:dyDescent="0.25">
      <c r="F253" t="s">
        <v>108</v>
      </c>
      <c r="H253" t="s">
        <v>108</v>
      </c>
      <c r="I253" t="s">
        <v>108</v>
      </c>
    </row>
    <row r="254" spans="6:9" x14ac:dyDescent="0.25">
      <c r="F254" t="s">
        <v>108</v>
      </c>
      <c r="H254" t="s">
        <v>108</v>
      </c>
      <c r="I254" t="s">
        <v>108</v>
      </c>
    </row>
    <row r="255" spans="6:9" x14ac:dyDescent="0.25">
      <c r="F255" t="s">
        <v>108</v>
      </c>
      <c r="H255" t="s">
        <v>108</v>
      </c>
      <c r="I255" t="s">
        <v>108</v>
      </c>
    </row>
    <row r="256" spans="6:9" x14ac:dyDescent="0.25">
      <c r="F256" t="s">
        <v>108</v>
      </c>
      <c r="H256" t="s">
        <v>108</v>
      </c>
      <c r="I256" t="s">
        <v>108</v>
      </c>
    </row>
    <row r="257" spans="6:9" x14ac:dyDescent="0.25">
      <c r="F257" t="s">
        <v>108</v>
      </c>
      <c r="H257" t="s">
        <v>108</v>
      </c>
      <c r="I257" t="s">
        <v>108</v>
      </c>
    </row>
    <row r="258" spans="6:9" x14ac:dyDescent="0.25">
      <c r="F258" t="s">
        <v>108</v>
      </c>
      <c r="H258" t="s">
        <v>108</v>
      </c>
      <c r="I258" t="s">
        <v>108</v>
      </c>
    </row>
    <row r="259" spans="6:9" x14ac:dyDescent="0.25">
      <c r="F259" t="s">
        <v>108</v>
      </c>
      <c r="H259" t="s">
        <v>108</v>
      </c>
      <c r="I259" t="s">
        <v>108</v>
      </c>
    </row>
    <row r="260" spans="6:9" x14ac:dyDescent="0.25">
      <c r="F260" t="s">
        <v>108</v>
      </c>
      <c r="H260" t="s">
        <v>108</v>
      </c>
      <c r="I260" t="s">
        <v>108</v>
      </c>
    </row>
    <row r="261" spans="6:9" x14ac:dyDescent="0.25">
      <c r="F261" t="s">
        <v>108</v>
      </c>
      <c r="H261" t="s">
        <v>108</v>
      </c>
      <c r="I261" t="s">
        <v>108</v>
      </c>
    </row>
    <row r="262" spans="6:9" x14ac:dyDescent="0.25">
      <c r="F262" t="s">
        <v>108</v>
      </c>
      <c r="H262" t="s">
        <v>108</v>
      </c>
      <c r="I262" t="s">
        <v>108</v>
      </c>
    </row>
    <row r="263" spans="6:9" x14ac:dyDescent="0.25">
      <c r="F263" t="s">
        <v>108</v>
      </c>
      <c r="H263" t="s">
        <v>108</v>
      </c>
      <c r="I263" t="s">
        <v>108</v>
      </c>
    </row>
    <row r="264" spans="6:9" x14ac:dyDescent="0.25">
      <c r="F264" t="s">
        <v>108</v>
      </c>
      <c r="H264" t="s">
        <v>108</v>
      </c>
      <c r="I264" t="s">
        <v>108</v>
      </c>
    </row>
    <row r="265" spans="6:9" x14ac:dyDescent="0.25">
      <c r="F265" t="s">
        <v>108</v>
      </c>
      <c r="H265" t="s">
        <v>108</v>
      </c>
      <c r="I265" t="s">
        <v>108</v>
      </c>
    </row>
    <row r="266" spans="6:9" x14ac:dyDescent="0.25">
      <c r="F266" t="s">
        <v>108</v>
      </c>
      <c r="H266" t="s">
        <v>108</v>
      </c>
      <c r="I266" t="s">
        <v>108</v>
      </c>
    </row>
    <row r="267" spans="6:9" x14ac:dyDescent="0.25">
      <c r="F267" t="s">
        <v>108</v>
      </c>
      <c r="H267" t="s">
        <v>108</v>
      </c>
      <c r="I267" t="s">
        <v>108</v>
      </c>
    </row>
    <row r="268" spans="6:9" x14ac:dyDescent="0.25">
      <c r="F268" t="s">
        <v>108</v>
      </c>
      <c r="H268" t="s">
        <v>108</v>
      </c>
      <c r="I268" t="s">
        <v>108</v>
      </c>
    </row>
    <row r="269" spans="6:9" x14ac:dyDescent="0.25">
      <c r="F269" t="s">
        <v>108</v>
      </c>
      <c r="H269" t="s">
        <v>108</v>
      </c>
      <c r="I269" t="s">
        <v>108</v>
      </c>
    </row>
    <row r="270" spans="6:9" x14ac:dyDescent="0.25">
      <c r="F270" t="s">
        <v>108</v>
      </c>
      <c r="H270" t="s">
        <v>108</v>
      </c>
      <c r="I270" t="s">
        <v>108</v>
      </c>
    </row>
    <row r="271" spans="6:9" x14ac:dyDescent="0.25">
      <c r="F271" t="s">
        <v>108</v>
      </c>
      <c r="H271" t="s">
        <v>108</v>
      </c>
      <c r="I271" t="s">
        <v>108</v>
      </c>
    </row>
    <row r="272" spans="6:9" x14ac:dyDescent="0.25">
      <c r="F272" t="s">
        <v>108</v>
      </c>
      <c r="H272" t="s">
        <v>108</v>
      </c>
      <c r="I272" t="s">
        <v>108</v>
      </c>
    </row>
    <row r="273" spans="6:9" x14ac:dyDescent="0.25">
      <c r="F273" t="s">
        <v>108</v>
      </c>
      <c r="H273" t="s">
        <v>108</v>
      </c>
      <c r="I273" t="s">
        <v>108</v>
      </c>
    </row>
    <row r="274" spans="6:9" x14ac:dyDescent="0.25">
      <c r="F274" t="s">
        <v>108</v>
      </c>
      <c r="H274" t="s">
        <v>108</v>
      </c>
      <c r="I274" t="s">
        <v>108</v>
      </c>
    </row>
    <row r="275" spans="6:9" x14ac:dyDescent="0.25">
      <c r="F275" t="s">
        <v>108</v>
      </c>
      <c r="H275" t="s">
        <v>108</v>
      </c>
      <c r="I275" t="s">
        <v>108</v>
      </c>
    </row>
    <row r="276" spans="6:9" x14ac:dyDescent="0.25">
      <c r="F276" t="s">
        <v>108</v>
      </c>
      <c r="H276" t="s">
        <v>108</v>
      </c>
      <c r="I276" t="s">
        <v>108</v>
      </c>
    </row>
    <row r="277" spans="6:9" x14ac:dyDescent="0.25">
      <c r="F277" t="s">
        <v>108</v>
      </c>
      <c r="H277" t="s">
        <v>108</v>
      </c>
      <c r="I277" t="s">
        <v>108</v>
      </c>
    </row>
    <row r="278" spans="6:9" x14ac:dyDescent="0.25">
      <c r="F278" t="s">
        <v>108</v>
      </c>
      <c r="H278" t="s">
        <v>108</v>
      </c>
      <c r="I278" t="s">
        <v>108</v>
      </c>
    </row>
    <row r="279" spans="6:9" x14ac:dyDescent="0.25">
      <c r="F279" t="s">
        <v>108</v>
      </c>
      <c r="H279" t="s">
        <v>108</v>
      </c>
      <c r="I279" t="s">
        <v>108</v>
      </c>
    </row>
    <row r="280" spans="6:9" x14ac:dyDescent="0.25">
      <c r="F280" t="s">
        <v>108</v>
      </c>
      <c r="H280" t="s">
        <v>108</v>
      </c>
      <c r="I280" t="s">
        <v>108</v>
      </c>
    </row>
    <row r="281" spans="6:9" x14ac:dyDescent="0.25">
      <c r="F281" t="s">
        <v>108</v>
      </c>
      <c r="H281" t="s">
        <v>108</v>
      </c>
      <c r="I281" t="s">
        <v>108</v>
      </c>
    </row>
    <row r="282" spans="6:9" x14ac:dyDescent="0.25">
      <c r="F282" t="s">
        <v>108</v>
      </c>
      <c r="H282" t="s">
        <v>108</v>
      </c>
      <c r="I282" t="s">
        <v>108</v>
      </c>
    </row>
    <row r="283" spans="6:9" x14ac:dyDescent="0.25">
      <c r="F283" t="s">
        <v>108</v>
      </c>
      <c r="H283" t="s">
        <v>108</v>
      </c>
      <c r="I283" t="s">
        <v>108</v>
      </c>
    </row>
    <row r="284" spans="6:9" x14ac:dyDescent="0.25">
      <c r="F284" t="s">
        <v>108</v>
      </c>
      <c r="H284" t="s">
        <v>108</v>
      </c>
      <c r="I284" t="s">
        <v>108</v>
      </c>
    </row>
    <row r="285" spans="6:9" x14ac:dyDescent="0.25">
      <c r="F285" t="s">
        <v>108</v>
      </c>
      <c r="H285" t="s">
        <v>108</v>
      </c>
      <c r="I285" t="s">
        <v>108</v>
      </c>
    </row>
    <row r="286" spans="6:9" x14ac:dyDescent="0.25">
      <c r="F286" t="s">
        <v>108</v>
      </c>
      <c r="H286" t="s">
        <v>108</v>
      </c>
      <c r="I286" t="s">
        <v>108</v>
      </c>
    </row>
    <row r="287" spans="6:9" x14ac:dyDescent="0.25">
      <c r="F287" t="s">
        <v>108</v>
      </c>
      <c r="H287" t="s">
        <v>108</v>
      </c>
      <c r="I287" t="s">
        <v>108</v>
      </c>
    </row>
    <row r="288" spans="6:9" x14ac:dyDescent="0.25">
      <c r="F288" t="s">
        <v>108</v>
      </c>
      <c r="H288" t="s">
        <v>108</v>
      </c>
      <c r="I288" t="s">
        <v>108</v>
      </c>
    </row>
    <row r="289" spans="6:9" x14ac:dyDescent="0.25">
      <c r="F289" t="s">
        <v>108</v>
      </c>
      <c r="H289" t="s">
        <v>108</v>
      </c>
      <c r="I289" t="s">
        <v>108</v>
      </c>
    </row>
    <row r="290" spans="6:9" x14ac:dyDescent="0.25">
      <c r="F290" t="s">
        <v>108</v>
      </c>
      <c r="H290" t="s">
        <v>108</v>
      </c>
      <c r="I290" t="s">
        <v>108</v>
      </c>
    </row>
    <row r="291" spans="6:9" x14ac:dyDescent="0.25">
      <c r="F291" t="s">
        <v>108</v>
      </c>
      <c r="H291" t="s">
        <v>108</v>
      </c>
      <c r="I291" t="s">
        <v>108</v>
      </c>
    </row>
    <row r="292" spans="6:9" x14ac:dyDescent="0.25">
      <c r="F292" t="s">
        <v>108</v>
      </c>
      <c r="H292" t="s">
        <v>108</v>
      </c>
      <c r="I292" t="s">
        <v>108</v>
      </c>
    </row>
    <row r="293" spans="6:9" x14ac:dyDescent="0.25">
      <c r="F293" t="s">
        <v>108</v>
      </c>
      <c r="H293" t="s">
        <v>108</v>
      </c>
      <c r="I293" t="s">
        <v>108</v>
      </c>
    </row>
    <row r="294" spans="6:9" x14ac:dyDescent="0.25">
      <c r="F294" t="s">
        <v>108</v>
      </c>
      <c r="H294" t="s">
        <v>108</v>
      </c>
      <c r="I294" t="s">
        <v>108</v>
      </c>
    </row>
    <row r="295" spans="6:9" x14ac:dyDescent="0.25">
      <c r="F295" t="s">
        <v>108</v>
      </c>
      <c r="H295" t="s">
        <v>108</v>
      </c>
      <c r="I295" t="s">
        <v>108</v>
      </c>
    </row>
    <row r="296" spans="6:9" x14ac:dyDescent="0.25">
      <c r="F296" t="s">
        <v>108</v>
      </c>
      <c r="H296" t="s">
        <v>108</v>
      </c>
      <c r="I296" t="s">
        <v>108</v>
      </c>
    </row>
    <row r="297" spans="6:9" x14ac:dyDescent="0.25">
      <c r="F297" t="s">
        <v>108</v>
      </c>
      <c r="H297" t="s">
        <v>108</v>
      </c>
      <c r="I297" t="s">
        <v>108</v>
      </c>
    </row>
    <row r="298" spans="6:9" x14ac:dyDescent="0.25">
      <c r="F298" t="s">
        <v>108</v>
      </c>
      <c r="H298" t="s">
        <v>108</v>
      </c>
      <c r="I298" t="s">
        <v>108</v>
      </c>
    </row>
    <row r="299" spans="6:9" x14ac:dyDescent="0.25">
      <c r="F299" t="s">
        <v>108</v>
      </c>
      <c r="H299" t="s">
        <v>108</v>
      </c>
      <c r="I299" t="s">
        <v>108</v>
      </c>
    </row>
    <row r="300" spans="6:9" x14ac:dyDescent="0.25">
      <c r="F300" t="s">
        <v>108</v>
      </c>
      <c r="H300" t="s">
        <v>108</v>
      </c>
      <c r="I300" t="s">
        <v>108</v>
      </c>
    </row>
    <row r="301" spans="6:9" x14ac:dyDescent="0.25">
      <c r="F301" t="s">
        <v>108</v>
      </c>
      <c r="H301" t="s">
        <v>108</v>
      </c>
      <c r="I301" t="s">
        <v>108</v>
      </c>
    </row>
    <row r="302" spans="6:9" x14ac:dyDescent="0.25">
      <c r="F302" t="s">
        <v>108</v>
      </c>
      <c r="H302" t="s">
        <v>108</v>
      </c>
      <c r="I302" t="s">
        <v>108</v>
      </c>
    </row>
    <row r="303" spans="6:9" x14ac:dyDescent="0.25">
      <c r="F303" t="s">
        <v>108</v>
      </c>
      <c r="H303" t="s">
        <v>108</v>
      </c>
      <c r="I303" t="s">
        <v>108</v>
      </c>
    </row>
    <row r="304" spans="6:9" x14ac:dyDescent="0.25">
      <c r="F304" t="s">
        <v>108</v>
      </c>
      <c r="H304" t="s">
        <v>108</v>
      </c>
      <c r="I304" t="s">
        <v>108</v>
      </c>
    </row>
    <row r="305" spans="6:9" x14ac:dyDescent="0.25">
      <c r="F305" t="s">
        <v>108</v>
      </c>
      <c r="H305" t="s">
        <v>108</v>
      </c>
      <c r="I305" t="s">
        <v>108</v>
      </c>
    </row>
    <row r="306" spans="6:9" x14ac:dyDescent="0.25">
      <c r="F306" t="s">
        <v>108</v>
      </c>
      <c r="H306" t="s">
        <v>108</v>
      </c>
      <c r="I306" t="s">
        <v>108</v>
      </c>
    </row>
    <row r="307" spans="6:9" x14ac:dyDescent="0.25">
      <c r="F307" t="s">
        <v>108</v>
      </c>
      <c r="H307" t="s">
        <v>108</v>
      </c>
      <c r="I307" t="s">
        <v>108</v>
      </c>
    </row>
    <row r="308" spans="6:9" x14ac:dyDescent="0.25">
      <c r="F308" t="s">
        <v>108</v>
      </c>
      <c r="H308" t="s">
        <v>108</v>
      </c>
      <c r="I308" t="s">
        <v>108</v>
      </c>
    </row>
    <row r="309" spans="6:9" x14ac:dyDescent="0.25">
      <c r="F309" t="s">
        <v>108</v>
      </c>
      <c r="H309" t="s">
        <v>108</v>
      </c>
      <c r="I309" t="s">
        <v>108</v>
      </c>
    </row>
    <row r="310" spans="6:9" x14ac:dyDescent="0.25">
      <c r="F310" t="s">
        <v>108</v>
      </c>
      <c r="H310" t="s">
        <v>108</v>
      </c>
      <c r="I310" t="s">
        <v>108</v>
      </c>
    </row>
    <row r="311" spans="6:9" x14ac:dyDescent="0.25">
      <c r="F311" t="s">
        <v>108</v>
      </c>
      <c r="H311" t="s">
        <v>108</v>
      </c>
      <c r="I311" t="s">
        <v>108</v>
      </c>
    </row>
    <row r="312" spans="6:9" x14ac:dyDescent="0.25">
      <c r="F312" t="s">
        <v>108</v>
      </c>
      <c r="H312" t="s">
        <v>108</v>
      </c>
      <c r="I312" t="s">
        <v>108</v>
      </c>
    </row>
    <row r="313" spans="6:9" x14ac:dyDescent="0.25">
      <c r="F313" t="s">
        <v>108</v>
      </c>
      <c r="H313" t="s">
        <v>108</v>
      </c>
      <c r="I313" t="s">
        <v>108</v>
      </c>
    </row>
    <row r="314" spans="6:9" x14ac:dyDescent="0.25">
      <c r="F314" t="s">
        <v>108</v>
      </c>
      <c r="H314" t="s">
        <v>108</v>
      </c>
      <c r="I314" t="s">
        <v>108</v>
      </c>
    </row>
    <row r="315" spans="6:9" x14ac:dyDescent="0.25">
      <c r="F315" t="s">
        <v>108</v>
      </c>
      <c r="H315" t="s">
        <v>108</v>
      </c>
      <c r="I315" t="s">
        <v>108</v>
      </c>
    </row>
    <row r="316" spans="6:9" x14ac:dyDescent="0.25">
      <c r="F316" t="s">
        <v>108</v>
      </c>
      <c r="H316" t="s">
        <v>108</v>
      </c>
      <c r="I316" t="s">
        <v>108</v>
      </c>
    </row>
    <row r="317" spans="6:9" x14ac:dyDescent="0.25">
      <c r="F317" t="s">
        <v>108</v>
      </c>
      <c r="H317" t="s">
        <v>108</v>
      </c>
      <c r="I317" t="s">
        <v>108</v>
      </c>
    </row>
    <row r="318" spans="6:9" x14ac:dyDescent="0.25">
      <c r="F318" t="s">
        <v>108</v>
      </c>
      <c r="H318" t="s">
        <v>108</v>
      </c>
      <c r="I318" t="s">
        <v>108</v>
      </c>
    </row>
    <row r="319" spans="6:9" x14ac:dyDescent="0.25">
      <c r="F319" t="s">
        <v>108</v>
      </c>
      <c r="H319" t="s">
        <v>108</v>
      </c>
      <c r="I319" t="s">
        <v>108</v>
      </c>
    </row>
    <row r="320" spans="6:9" x14ac:dyDescent="0.25">
      <c r="F320" t="s">
        <v>108</v>
      </c>
      <c r="H320" t="s">
        <v>108</v>
      </c>
      <c r="I320" t="s">
        <v>108</v>
      </c>
    </row>
    <row r="321" spans="6:9" x14ac:dyDescent="0.25">
      <c r="F321" t="s">
        <v>108</v>
      </c>
      <c r="H321" t="s">
        <v>108</v>
      </c>
      <c r="I321" t="s">
        <v>108</v>
      </c>
    </row>
    <row r="322" spans="6:9" x14ac:dyDescent="0.25">
      <c r="F322" t="s">
        <v>108</v>
      </c>
      <c r="H322" t="s">
        <v>108</v>
      </c>
      <c r="I322" t="s">
        <v>108</v>
      </c>
    </row>
    <row r="323" spans="6:9" x14ac:dyDescent="0.25">
      <c r="F323" t="s">
        <v>108</v>
      </c>
      <c r="H323" t="s">
        <v>108</v>
      </c>
      <c r="I323" t="s">
        <v>108</v>
      </c>
    </row>
    <row r="324" spans="6:9" x14ac:dyDescent="0.25">
      <c r="F324" t="s">
        <v>108</v>
      </c>
      <c r="H324" t="s">
        <v>108</v>
      </c>
      <c r="I324" t="s">
        <v>108</v>
      </c>
    </row>
    <row r="325" spans="6:9" x14ac:dyDescent="0.25">
      <c r="F325" t="s">
        <v>108</v>
      </c>
      <c r="H325" t="s">
        <v>108</v>
      </c>
      <c r="I325" t="s">
        <v>108</v>
      </c>
    </row>
    <row r="326" spans="6:9" x14ac:dyDescent="0.25">
      <c r="F326" t="s">
        <v>108</v>
      </c>
      <c r="H326" t="s">
        <v>108</v>
      </c>
      <c r="I326" t="s">
        <v>108</v>
      </c>
    </row>
    <row r="327" spans="6:9" x14ac:dyDescent="0.25">
      <c r="F327" t="s">
        <v>108</v>
      </c>
      <c r="H327" t="s">
        <v>108</v>
      </c>
      <c r="I327" t="s">
        <v>108</v>
      </c>
    </row>
    <row r="328" spans="6:9" x14ac:dyDescent="0.25">
      <c r="F328" t="s">
        <v>108</v>
      </c>
      <c r="H328" t="s">
        <v>108</v>
      </c>
      <c r="I328" t="s">
        <v>108</v>
      </c>
    </row>
    <row r="329" spans="6:9" x14ac:dyDescent="0.25">
      <c r="F329" t="s">
        <v>108</v>
      </c>
      <c r="H329" t="s">
        <v>108</v>
      </c>
      <c r="I329" t="s">
        <v>108</v>
      </c>
    </row>
    <row r="330" spans="6:9" x14ac:dyDescent="0.25">
      <c r="F330" t="s">
        <v>108</v>
      </c>
      <c r="H330" t="s">
        <v>108</v>
      </c>
      <c r="I330" t="s">
        <v>108</v>
      </c>
    </row>
    <row r="331" spans="6:9" x14ac:dyDescent="0.25">
      <c r="F331" t="s">
        <v>108</v>
      </c>
      <c r="H331" t="s">
        <v>108</v>
      </c>
      <c r="I331" t="s">
        <v>108</v>
      </c>
    </row>
    <row r="332" spans="6:9" x14ac:dyDescent="0.25">
      <c r="F332" t="s">
        <v>108</v>
      </c>
      <c r="H332" t="s">
        <v>108</v>
      </c>
      <c r="I332" t="s">
        <v>108</v>
      </c>
    </row>
    <row r="333" spans="6:9" x14ac:dyDescent="0.25">
      <c r="F333" t="s">
        <v>108</v>
      </c>
      <c r="H333" t="s">
        <v>108</v>
      </c>
      <c r="I333" t="s">
        <v>108</v>
      </c>
    </row>
    <row r="334" spans="6:9" x14ac:dyDescent="0.25">
      <c r="F334" t="s">
        <v>108</v>
      </c>
      <c r="H334" t="s">
        <v>108</v>
      </c>
      <c r="I334" t="s">
        <v>108</v>
      </c>
    </row>
    <row r="335" spans="6:9" x14ac:dyDescent="0.25">
      <c r="F335" t="s">
        <v>108</v>
      </c>
      <c r="H335" t="s">
        <v>108</v>
      </c>
      <c r="I335" t="s">
        <v>108</v>
      </c>
    </row>
    <row r="336" spans="6:9" x14ac:dyDescent="0.25">
      <c r="F336" t="s">
        <v>108</v>
      </c>
      <c r="H336" t="s">
        <v>108</v>
      </c>
      <c r="I336" t="s">
        <v>108</v>
      </c>
    </row>
    <row r="337" spans="6:8" x14ac:dyDescent="0.25">
      <c r="F337" t="s">
        <v>108</v>
      </c>
      <c r="H337" t="s">
        <v>108</v>
      </c>
    </row>
    <row r="338" spans="6:8" x14ac:dyDescent="0.25">
      <c r="F338" t="s">
        <v>108</v>
      </c>
      <c r="H338" t="s">
        <v>108</v>
      </c>
    </row>
    <row r="339" spans="6:8" x14ac:dyDescent="0.25">
      <c r="F339" t="s">
        <v>108</v>
      </c>
      <c r="H339" t="s">
        <v>108</v>
      </c>
    </row>
    <row r="340" spans="6:8" x14ac:dyDescent="0.25">
      <c r="F340" t="s">
        <v>108</v>
      </c>
      <c r="H340" t="s">
        <v>108</v>
      </c>
    </row>
    <row r="341" spans="6:8" x14ac:dyDescent="0.25">
      <c r="F341" t="s">
        <v>108</v>
      </c>
      <c r="H341" t="s">
        <v>108</v>
      </c>
    </row>
    <row r="342" spans="6:8" x14ac:dyDescent="0.25">
      <c r="F342" t="s">
        <v>108</v>
      </c>
      <c r="H342" t="s">
        <v>108</v>
      </c>
    </row>
    <row r="343" spans="6:8" x14ac:dyDescent="0.25">
      <c r="F343" t="s">
        <v>108</v>
      </c>
      <c r="H343" t="s">
        <v>108</v>
      </c>
    </row>
    <row r="344" spans="6:8" x14ac:dyDescent="0.25">
      <c r="F344" t="s">
        <v>108</v>
      </c>
      <c r="H344" t="s">
        <v>108</v>
      </c>
    </row>
    <row r="345" spans="6:8" x14ac:dyDescent="0.25">
      <c r="F345" t="s">
        <v>108</v>
      </c>
      <c r="H345" t="s">
        <v>108</v>
      </c>
    </row>
    <row r="346" spans="6:8" x14ac:dyDescent="0.25">
      <c r="F346" t="s">
        <v>108</v>
      </c>
      <c r="H346" t="s">
        <v>108</v>
      </c>
    </row>
    <row r="347" spans="6:8" x14ac:dyDescent="0.25">
      <c r="F347" t="s">
        <v>108</v>
      </c>
      <c r="H347" t="s">
        <v>108</v>
      </c>
    </row>
    <row r="348" spans="6:8" x14ac:dyDescent="0.25">
      <c r="F348" t="s">
        <v>108</v>
      </c>
      <c r="H348" t="s">
        <v>108</v>
      </c>
    </row>
    <row r="349" spans="6:8" x14ac:dyDescent="0.25">
      <c r="F349" t="s">
        <v>108</v>
      </c>
      <c r="H349" t="s">
        <v>108</v>
      </c>
    </row>
    <row r="350" spans="6:8" x14ac:dyDescent="0.25">
      <c r="F350" t="s">
        <v>108</v>
      </c>
      <c r="H350" t="s">
        <v>108</v>
      </c>
    </row>
    <row r="351" spans="6:8" x14ac:dyDescent="0.25">
      <c r="F351" t="s">
        <v>108</v>
      </c>
      <c r="H351" t="s">
        <v>108</v>
      </c>
    </row>
    <row r="352" spans="6:8" x14ac:dyDescent="0.25">
      <c r="F352" t="s">
        <v>108</v>
      </c>
      <c r="H352" t="s">
        <v>108</v>
      </c>
    </row>
    <row r="353" spans="6:8" x14ac:dyDescent="0.25">
      <c r="F353" t="s">
        <v>108</v>
      </c>
      <c r="H353" t="s">
        <v>108</v>
      </c>
    </row>
    <row r="354" spans="6:8" x14ac:dyDescent="0.25">
      <c r="F354" t="s">
        <v>108</v>
      </c>
      <c r="H354" t="s">
        <v>108</v>
      </c>
    </row>
    <row r="355" spans="6:8" x14ac:dyDescent="0.25">
      <c r="F355" t="s">
        <v>108</v>
      </c>
      <c r="H355" t="s">
        <v>108</v>
      </c>
    </row>
    <row r="356" spans="6:8" x14ac:dyDescent="0.25">
      <c r="F356" t="s">
        <v>108</v>
      </c>
      <c r="H356" t="s">
        <v>108</v>
      </c>
    </row>
    <row r="357" spans="6:8" x14ac:dyDescent="0.25">
      <c r="F357" t="s">
        <v>108</v>
      </c>
      <c r="H357" t="s">
        <v>108</v>
      </c>
    </row>
    <row r="358" spans="6:8" x14ac:dyDescent="0.25">
      <c r="F358" t="s">
        <v>108</v>
      </c>
      <c r="H358" t="s">
        <v>108</v>
      </c>
    </row>
    <row r="359" spans="6:8" x14ac:dyDescent="0.25">
      <c r="F359" t="s">
        <v>108</v>
      </c>
      <c r="H359" t="s">
        <v>108</v>
      </c>
    </row>
    <row r="360" spans="6:8" x14ac:dyDescent="0.25">
      <c r="F360" t="s">
        <v>108</v>
      </c>
      <c r="H360" t="s">
        <v>108</v>
      </c>
    </row>
    <row r="361" spans="6:8" x14ac:dyDescent="0.25">
      <c r="F361" t="s">
        <v>108</v>
      </c>
      <c r="H361" t="s">
        <v>108</v>
      </c>
    </row>
    <row r="362" spans="6:8" x14ac:dyDescent="0.25">
      <c r="F362" t="s">
        <v>108</v>
      </c>
      <c r="H362" t="s">
        <v>108</v>
      </c>
    </row>
    <row r="363" spans="6:8" x14ac:dyDescent="0.25">
      <c r="F363" t="s">
        <v>108</v>
      </c>
      <c r="H363" t="s">
        <v>108</v>
      </c>
    </row>
    <row r="364" spans="6:8" x14ac:dyDescent="0.25">
      <c r="F364" t="s">
        <v>108</v>
      </c>
      <c r="H364" t="s">
        <v>108</v>
      </c>
    </row>
    <row r="365" spans="6:8" x14ac:dyDescent="0.25">
      <c r="F365" t="s">
        <v>108</v>
      </c>
      <c r="H365" t="s">
        <v>108</v>
      </c>
    </row>
    <row r="366" spans="6:8" x14ac:dyDescent="0.25">
      <c r="F366" t="s">
        <v>108</v>
      </c>
      <c r="H366" t="s">
        <v>108</v>
      </c>
    </row>
    <row r="367" spans="6:8" x14ac:dyDescent="0.25">
      <c r="F367" t="s">
        <v>108</v>
      </c>
      <c r="H367" t="s">
        <v>108</v>
      </c>
    </row>
    <row r="368" spans="6:8" x14ac:dyDescent="0.25">
      <c r="F368" t="s">
        <v>108</v>
      </c>
      <c r="H368" t="s">
        <v>108</v>
      </c>
    </row>
    <row r="369" spans="6:8" x14ac:dyDescent="0.25">
      <c r="F369" t="s">
        <v>108</v>
      </c>
      <c r="H369" t="s">
        <v>108</v>
      </c>
    </row>
    <row r="370" spans="6:8" x14ac:dyDescent="0.25">
      <c r="F370" t="s">
        <v>108</v>
      </c>
      <c r="H370" t="s">
        <v>108</v>
      </c>
    </row>
    <row r="371" spans="6:8" x14ac:dyDescent="0.25">
      <c r="F371" t="s">
        <v>108</v>
      </c>
      <c r="H371" t="s">
        <v>108</v>
      </c>
    </row>
    <row r="372" spans="6:8" x14ac:dyDescent="0.25">
      <c r="F372" t="s">
        <v>108</v>
      </c>
      <c r="H372" t="s">
        <v>108</v>
      </c>
    </row>
    <row r="373" spans="6:8" x14ac:dyDescent="0.25">
      <c r="F373" t="s">
        <v>108</v>
      </c>
      <c r="H373" t="s">
        <v>108</v>
      </c>
    </row>
    <row r="374" spans="6:8" x14ac:dyDescent="0.25">
      <c r="F374" t="s">
        <v>108</v>
      </c>
      <c r="H374" t="s">
        <v>108</v>
      </c>
    </row>
    <row r="375" spans="6:8" x14ac:dyDescent="0.25">
      <c r="F375" t="s">
        <v>108</v>
      </c>
      <c r="H375" t="s">
        <v>108</v>
      </c>
    </row>
    <row r="376" spans="6:8" x14ac:dyDescent="0.25">
      <c r="F376" t="s">
        <v>108</v>
      </c>
      <c r="H376" t="s">
        <v>108</v>
      </c>
    </row>
    <row r="377" spans="6:8" x14ac:dyDescent="0.25">
      <c r="F377" t="s">
        <v>108</v>
      </c>
      <c r="H377" t="s">
        <v>108</v>
      </c>
    </row>
    <row r="378" spans="6:8" x14ac:dyDescent="0.25">
      <c r="F378" t="s">
        <v>108</v>
      </c>
      <c r="H378" t="s">
        <v>108</v>
      </c>
    </row>
    <row r="379" spans="6:8" x14ac:dyDescent="0.25">
      <c r="F379" t="s">
        <v>108</v>
      </c>
      <c r="H379" t="s">
        <v>108</v>
      </c>
    </row>
    <row r="380" spans="6:8" x14ac:dyDescent="0.25">
      <c r="F380" t="s">
        <v>108</v>
      </c>
      <c r="H380" t="s">
        <v>108</v>
      </c>
    </row>
    <row r="381" spans="6:8" x14ac:dyDescent="0.25">
      <c r="F381" t="s">
        <v>108</v>
      </c>
      <c r="H381" t="s">
        <v>108</v>
      </c>
    </row>
    <row r="382" spans="6:8" x14ac:dyDescent="0.25">
      <c r="F382" t="s">
        <v>108</v>
      </c>
      <c r="H382" t="s">
        <v>108</v>
      </c>
    </row>
    <row r="383" spans="6:8" x14ac:dyDescent="0.25">
      <c r="F383" t="s">
        <v>108</v>
      </c>
      <c r="H383" t="s">
        <v>108</v>
      </c>
    </row>
    <row r="384" spans="6:8" x14ac:dyDescent="0.25">
      <c r="F384" t="s">
        <v>108</v>
      </c>
      <c r="H384" t="s">
        <v>108</v>
      </c>
    </row>
    <row r="385" spans="6:8" x14ac:dyDescent="0.25">
      <c r="F385" t="s">
        <v>108</v>
      </c>
      <c r="H385" t="s">
        <v>108</v>
      </c>
    </row>
    <row r="386" spans="6:8" x14ac:dyDescent="0.25">
      <c r="F386" t="s">
        <v>108</v>
      </c>
      <c r="H386" t="s">
        <v>108</v>
      </c>
    </row>
    <row r="387" spans="6:8" x14ac:dyDescent="0.25">
      <c r="F387" t="s">
        <v>108</v>
      </c>
      <c r="H387" t="s">
        <v>108</v>
      </c>
    </row>
    <row r="388" spans="6:8" x14ac:dyDescent="0.25">
      <c r="F388" t="s">
        <v>108</v>
      </c>
      <c r="H388" t="s">
        <v>108</v>
      </c>
    </row>
    <row r="389" spans="6:8" x14ac:dyDescent="0.25">
      <c r="F389" t="s">
        <v>108</v>
      </c>
      <c r="H389" t="s">
        <v>108</v>
      </c>
    </row>
    <row r="390" spans="6:8" x14ac:dyDescent="0.25">
      <c r="F390" t="s">
        <v>108</v>
      </c>
      <c r="H390" t="s">
        <v>108</v>
      </c>
    </row>
    <row r="391" spans="6:8" x14ac:dyDescent="0.25">
      <c r="F391" t="s">
        <v>108</v>
      </c>
      <c r="H391" t="s">
        <v>108</v>
      </c>
    </row>
    <row r="392" spans="6:8" x14ac:dyDescent="0.25">
      <c r="F392" t="s">
        <v>108</v>
      </c>
      <c r="H392" t="s">
        <v>108</v>
      </c>
    </row>
    <row r="393" spans="6:8" x14ac:dyDescent="0.25">
      <c r="F393" t="s">
        <v>108</v>
      </c>
      <c r="H393" t="s">
        <v>108</v>
      </c>
    </row>
    <row r="394" spans="6:8" x14ac:dyDescent="0.25">
      <c r="F394" t="s">
        <v>108</v>
      </c>
      <c r="H394" t="s">
        <v>108</v>
      </c>
    </row>
    <row r="395" spans="6:8" x14ac:dyDescent="0.25">
      <c r="F395" t="s">
        <v>108</v>
      </c>
      <c r="H395" t="s">
        <v>108</v>
      </c>
    </row>
    <row r="396" spans="6:8" x14ac:dyDescent="0.25">
      <c r="F396" t="s">
        <v>108</v>
      </c>
      <c r="H396" t="s">
        <v>108</v>
      </c>
    </row>
    <row r="397" spans="6:8" x14ac:dyDescent="0.25">
      <c r="F397" t="s">
        <v>108</v>
      </c>
      <c r="H397" t="s">
        <v>108</v>
      </c>
    </row>
    <row r="398" spans="6:8" x14ac:dyDescent="0.25">
      <c r="F398" t="s">
        <v>108</v>
      </c>
      <c r="H398" t="s">
        <v>108</v>
      </c>
    </row>
    <row r="399" spans="6:8" x14ac:dyDescent="0.25">
      <c r="F399" t="s">
        <v>108</v>
      </c>
      <c r="H399" t="s">
        <v>108</v>
      </c>
    </row>
    <row r="400" spans="6:8" x14ac:dyDescent="0.25">
      <c r="F400" t="s">
        <v>108</v>
      </c>
      <c r="H400" t="s">
        <v>108</v>
      </c>
    </row>
    <row r="401" spans="6:8" x14ac:dyDescent="0.25">
      <c r="F401" t="s">
        <v>108</v>
      </c>
      <c r="H401" t="s">
        <v>108</v>
      </c>
    </row>
    <row r="402" spans="6:8" x14ac:dyDescent="0.25">
      <c r="F402" t="s">
        <v>108</v>
      </c>
      <c r="H402" t="s">
        <v>108</v>
      </c>
    </row>
    <row r="403" spans="6:8" x14ac:dyDescent="0.25">
      <c r="F403" t="s">
        <v>108</v>
      </c>
      <c r="H403" t="s">
        <v>108</v>
      </c>
    </row>
    <row r="404" spans="6:8" x14ac:dyDescent="0.25">
      <c r="F404" t="s">
        <v>108</v>
      </c>
      <c r="H404" t="s">
        <v>108</v>
      </c>
    </row>
    <row r="405" spans="6:8" x14ac:dyDescent="0.25">
      <c r="F405" t="s">
        <v>108</v>
      </c>
      <c r="H405" t="s">
        <v>108</v>
      </c>
    </row>
    <row r="406" spans="6:8" x14ac:dyDescent="0.25">
      <c r="F406" t="s">
        <v>108</v>
      </c>
      <c r="H406" t="s">
        <v>108</v>
      </c>
    </row>
    <row r="407" spans="6:8" x14ac:dyDescent="0.25">
      <c r="F407" t="s">
        <v>108</v>
      </c>
      <c r="H407" t="s">
        <v>108</v>
      </c>
    </row>
    <row r="408" spans="6:8" x14ac:dyDescent="0.25">
      <c r="F408" t="s">
        <v>108</v>
      </c>
      <c r="H408" t="s">
        <v>108</v>
      </c>
    </row>
    <row r="409" spans="6:8" x14ac:dyDescent="0.25">
      <c r="F409" t="s">
        <v>108</v>
      </c>
      <c r="H409" t="s">
        <v>108</v>
      </c>
    </row>
    <row r="410" spans="6:8" x14ac:dyDescent="0.25">
      <c r="F410" t="s">
        <v>108</v>
      </c>
      <c r="H410" t="s">
        <v>108</v>
      </c>
    </row>
    <row r="411" spans="6:8" x14ac:dyDescent="0.25">
      <c r="F411" t="s">
        <v>108</v>
      </c>
      <c r="H411" t="s">
        <v>108</v>
      </c>
    </row>
    <row r="412" spans="6:8" x14ac:dyDescent="0.25">
      <c r="F412" t="s">
        <v>108</v>
      </c>
      <c r="H412" t="s">
        <v>108</v>
      </c>
    </row>
    <row r="413" spans="6:8" x14ac:dyDescent="0.25">
      <c r="F413" t="s">
        <v>108</v>
      </c>
      <c r="H413" t="s">
        <v>108</v>
      </c>
    </row>
    <row r="414" spans="6:8" x14ac:dyDescent="0.25">
      <c r="F414" t="s">
        <v>108</v>
      </c>
      <c r="H414" t="s">
        <v>108</v>
      </c>
    </row>
    <row r="415" spans="6:8" x14ac:dyDescent="0.25">
      <c r="F415" t="s">
        <v>108</v>
      </c>
      <c r="H415" t="s">
        <v>108</v>
      </c>
    </row>
    <row r="416" spans="6:8" x14ac:dyDescent="0.25">
      <c r="F416" t="s">
        <v>108</v>
      </c>
      <c r="H416" t="s">
        <v>108</v>
      </c>
    </row>
    <row r="417" spans="6:8" x14ac:dyDescent="0.25">
      <c r="F417" t="s">
        <v>108</v>
      </c>
      <c r="H417" t="s">
        <v>108</v>
      </c>
    </row>
    <row r="418" spans="6:8" x14ac:dyDescent="0.25">
      <c r="F418" t="s">
        <v>108</v>
      </c>
      <c r="H418" t="s">
        <v>108</v>
      </c>
    </row>
    <row r="419" spans="6:8" x14ac:dyDescent="0.25">
      <c r="F419" t="s">
        <v>108</v>
      </c>
      <c r="H419" t="s">
        <v>108</v>
      </c>
    </row>
    <row r="420" spans="6:8" x14ac:dyDescent="0.25">
      <c r="F420" t="s">
        <v>108</v>
      </c>
      <c r="H420" t="s">
        <v>108</v>
      </c>
    </row>
    <row r="421" spans="6:8" x14ac:dyDescent="0.25">
      <c r="F421" t="s">
        <v>108</v>
      </c>
      <c r="H421" t="s">
        <v>108</v>
      </c>
    </row>
    <row r="422" spans="6:8" x14ac:dyDescent="0.25">
      <c r="F422" t="s">
        <v>108</v>
      </c>
      <c r="H422" t="s">
        <v>108</v>
      </c>
    </row>
    <row r="423" spans="6:8" x14ac:dyDescent="0.25">
      <c r="F423" t="s">
        <v>108</v>
      </c>
      <c r="H423" t="s">
        <v>108</v>
      </c>
    </row>
    <row r="424" spans="6:8" x14ac:dyDescent="0.25">
      <c r="F424" t="s">
        <v>108</v>
      </c>
      <c r="H424" t="s">
        <v>108</v>
      </c>
    </row>
    <row r="425" spans="6:8" x14ac:dyDescent="0.25">
      <c r="F425" t="s">
        <v>108</v>
      </c>
      <c r="H425" t="s">
        <v>108</v>
      </c>
    </row>
    <row r="426" spans="6:8" x14ac:dyDescent="0.25">
      <c r="F426" t="s">
        <v>108</v>
      </c>
      <c r="H426" t="s">
        <v>108</v>
      </c>
    </row>
    <row r="427" spans="6:8" x14ac:dyDescent="0.25">
      <c r="F427" t="s">
        <v>108</v>
      </c>
      <c r="H427" t="s">
        <v>108</v>
      </c>
    </row>
    <row r="428" spans="6:8" x14ac:dyDescent="0.25">
      <c r="F428" t="s">
        <v>108</v>
      </c>
      <c r="H428" t="s">
        <v>108</v>
      </c>
    </row>
    <row r="429" spans="6:8" x14ac:dyDescent="0.25">
      <c r="F429" t="s">
        <v>108</v>
      </c>
      <c r="H429" t="s">
        <v>108</v>
      </c>
    </row>
    <row r="430" spans="6:8" x14ac:dyDescent="0.25">
      <c r="F430" t="s">
        <v>108</v>
      </c>
      <c r="H430" t="s">
        <v>108</v>
      </c>
    </row>
    <row r="431" spans="6:8" x14ac:dyDescent="0.25">
      <c r="F431" t="s">
        <v>108</v>
      </c>
      <c r="H431" t="s">
        <v>108</v>
      </c>
    </row>
    <row r="432" spans="6:8" x14ac:dyDescent="0.25">
      <c r="F432" t="s">
        <v>108</v>
      </c>
      <c r="H432" t="s">
        <v>108</v>
      </c>
    </row>
    <row r="433" spans="6:8" x14ac:dyDescent="0.25">
      <c r="F433" t="s">
        <v>108</v>
      </c>
      <c r="H433" t="s">
        <v>108</v>
      </c>
    </row>
    <row r="434" spans="6:8" x14ac:dyDescent="0.25">
      <c r="F434" t="s">
        <v>108</v>
      </c>
      <c r="H434" t="s">
        <v>108</v>
      </c>
    </row>
    <row r="435" spans="6:8" x14ac:dyDescent="0.25">
      <c r="F435" t="s">
        <v>108</v>
      </c>
      <c r="H435" t="s">
        <v>108</v>
      </c>
    </row>
    <row r="436" spans="6:8" x14ac:dyDescent="0.25">
      <c r="F436" t="s">
        <v>108</v>
      </c>
      <c r="H436" t="s">
        <v>108</v>
      </c>
    </row>
    <row r="437" spans="6:8" x14ac:dyDescent="0.25">
      <c r="F437" t="s">
        <v>108</v>
      </c>
      <c r="H437" t="s">
        <v>108</v>
      </c>
    </row>
    <row r="438" spans="6:8" x14ac:dyDescent="0.25">
      <c r="F438" t="s">
        <v>108</v>
      </c>
      <c r="H438" t="s">
        <v>108</v>
      </c>
    </row>
    <row r="439" spans="6:8" x14ac:dyDescent="0.25">
      <c r="F439" t="s">
        <v>108</v>
      </c>
      <c r="H439" t="s">
        <v>108</v>
      </c>
    </row>
    <row r="440" spans="6:8" x14ac:dyDescent="0.25">
      <c r="F440" t="s">
        <v>108</v>
      </c>
      <c r="H440" t="s">
        <v>108</v>
      </c>
    </row>
    <row r="441" spans="6:8" x14ac:dyDescent="0.25">
      <c r="F441" t="s">
        <v>108</v>
      </c>
      <c r="H441" t="s">
        <v>108</v>
      </c>
    </row>
    <row r="442" spans="6:8" x14ac:dyDescent="0.25">
      <c r="F442" t="s">
        <v>108</v>
      </c>
      <c r="H442" t="s">
        <v>108</v>
      </c>
    </row>
    <row r="443" spans="6:8" x14ac:dyDescent="0.25">
      <c r="F443" t="s">
        <v>108</v>
      </c>
      <c r="H443" t="s">
        <v>108</v>
      </c>
    </row>
    <row r="444" spans="6:8" x14ac:dyDescent="0.25">
      <c r="F444" t="s">
        <v>108</v>
      </c>
      <c r="H444" t="s">
        <v>108</v>
      </c>
    </row>
    <row r="445" spans="6:8" x14ac:dyDescent="0.25">
      <c r="F445" t="s">
        <v>108</v>
      </c>
      <c r="H445" t="s">
        <v>108</v>
      </c>
    </row>
    <row r="446" spans="6:8" x14ac:dyDescent="0.25">
      <c r="F446" t="s">
        <v>108</v>
      </c>
      <c r="H446" t="s">
        <v>108</v>
      </c>
    </row>
    <row r="447" spans="6:8" x14ac:dyDescent="0.25">
      <c r="F447" t="s">
        <v>108</v>
      </c>
      <c r="H447" t="s">
        <v>108</v>
      </c>
    </row>
    <row r="448" spans="6:8" x14ac:dyDescent="0.25">
      <c r="F448" t="s">
        <v>108</v>
      </c>
      <c r="H448" t="s">
        <v>108</v>
      </c>
    </row>
    <row r="449" spans="6:8" x14ac:dyDescent="0.25">
      <c r="F449" t="s">
        <v>108</v>
      </c>
      <c r="H449" t="s">
        <v>108</v>
      </c>
    </row>
    <row r="450" spans="6:8" x14ac:dyDescent="0.25">
      <c r="F450" t="s">
        <v>108</v>
      </c>
      <c r="H450" t="s">
        <v>108</v>
      </c>
    </row>
    <row r="451" spans="6:8" x14ac:dyDescent="0.25">
      <c r="F451" t="s">
        <v>108</v>
      </c>
      <c r="H451" t="s">
        <v>108</v>
      </c>
    </row>
    <row r="452" spans="6:8" x14ac:dyDescent="0.25">
      <c r="F452" t="s">
        <v>108</v>
      </c>
      <c r="H452" t="s">
        <v>108</v>
      </c>
    </row>
    <row r="453" spans="6:8" x14ac:dyDescent="0.25">
      <c r="F453" t="s">
        <v>108</v>
      </c>
      <c r="H453" t="s">
        <v>108</v>
      </c>
    </row>
    <row r="454" spans="6:8" x14ac:dyDescent="0.25">
      <c r="F454" t="s">
        <v>108</v>
      </c>
      <c r="H454" t="s">
        <v>108</v>
      </c>
    </row>
    <row r="455" spans="6:8" x14ac:dyDescent="0.25">
      <c r="F455" t="s">
        <v>108</v>
      </c>
      <c r="H455" t="s">
        <v>108</v>
      </c>
    </row>
    <row r="456" spans="6:8" x14ac:dyDescent="0.25">
      <c r="F456" t="s">
        <v>108</v>
      </c>
      <c r="H456" t="s">
        <v>108</v>
      </c>
    </row>
    <row r="457" spans="6:8" x14ac:dyDescent="0.25">
      <c r="F457" t="s">
        <v>108</v>
      </c>
      <c r="H457" t="s">
        <v>108</v>
      </c>
    </row>
    <row r="458" spans="6:8" x14ac:dyDescent="0.25">
      <c r="F458" t="s">
        <v>108</v>
      </c>
      <c r="H458" t="s">
        <v>108</v>
      </c>
    </row>
    <row r="459" spans="6:8" x14ac:dyDescent="0.25">
      <c r="F459" t="s">
        <v>108</v>
      </c>
      <c r="H459" t="s">
        <v>108</v>
      </c>
    </row>
    <row r="460" spans="6:8" x14ac:dyDescent="0.25">
      <c r="F460" t="s">
        <v>108</v>
      </c>
      <c r="H460" t="s">
        <v>108</v>
      </c>
    </row>
    <row r="461" spans="6:8" x14ac:dyDescent="0.25">
      <c r="F461" t="s">
        <v>108</v>
      </c>
      <c r="H461" t="s">
        <v>108</v>
      </c>
    </row>
    <row r="462" spans="6:8" x14ac:dyDescent="0.25">
      <c r="F462" t="s">
        <v>108</v>
      </c>
      <c r="H462" t="s">
        <v>108</v>
      </c>
    </row>
    <row r="463" spans="6:8" x14ac:dyDescent="0.25">
      <c r="F463" t="s">
        <v>108</v>
      </c>
      <c r="H463" t="s">
        <v>108</v>
      </c>
    </row>
    <row r="464" spans="6:8" x14ac:dyDescent="0.25">
      <c r="F464" t="s">
        <v>108</v>
      </c>
      <c r="H464" t="s">
        <v>108</v>
      </c>
    </row>
    <row r="465" spans="6:8" x14ac:dyDescent="0.25">
      <c r="F465" t="s">
        <v>108</v>
      </c>
      <c r="H465" t="s">
        <v>108</v>
      </c>
    </row>
    <row r="466" spans="6:8" x14ac:dyDescent="0.25">
      <c r="F466" t="s">
        <v>108</v>
      </c>
      <c r="H466" t="s">
        <v>108</v>
      </c>
    </row>
    <row r="467" spans="6:8" x14ac:dyDescent="0.25">
      <c r="F467" t="s">
        <v>108</v>
      </c>
      <c r="H467" t="s">
        <v>108</v>
      </c>
    </row>
    <row r="468" spans="6:8" x14ac:dyDescent="0.25">
      <c r="F468" t="s">
        <v>108</v>
      </c>
      <c r="H468" t="s">
        <v>108</v>
      </c>
    </row>
    <row r="469" spans="6:8" x14ac:dyDescent="0.25">
      <c r="F469" t="s">
        <v>108</v>
      </c>
      <c r="H469" t="s">
        <v>108</v>
      </c>
    </row>
    <row r="470" spans="6:8" x14ac:dyDescent="0.25">
      <c r="F470" t="s">
        <v>108</v>
      </c>
      <c r="H470" t="s">
        <v>108</v>
      </c>
    </row>
    <row r="471" spans="6:8" x14ac:dyDescent="0.25">
      <c r="F471" t="s">
        <v>108</v>
      </c>
      <c r="H471" t="s">
        <v>108</v>
      </c>
    </row>
    <row r="472" spans="6:8" x14ac:dyDescent="0.25">
      <c r="F472" t="s">
        <v>108</v>
      </c>
      <c r="H472" t="s">
        <v>108</v>
      </c>
    </row>
    <row r="473" spans="6:8" x14ac:dyDescent="0.25">
      <c r="F473" t="s">
        <v>108</v>
      </c>
      <c r="H473" t="s">
        <v>108</v>
      </c>
    </row>
    <row r="474" spans="6:8" x14ac:dyDescent="0.25">
      <c r="F474" t="s">
        <v>108</v>
      </c>
      <c r="H474" t="s">
        <v>108</v>
      </c>
    </row>
    <row r="475" spans="6:8" x14ac:dyDescent="0.25">
      <c r="F475" t="s">
        <v>108</v>
      </c>
      <c r="H475" t="s">
        <v>108</v>
      </c>
    </row>
    <row r="476" spans="6:8" x14ac:dyDescent="0.25">
      <c r="F476" t="s">
        <v>108</v>
      </c>
      <c r="H476" t="s">
        <v>108</v>
      </c>
    </row>
    <row r="477" spans="6:8" x14ac:dyDescent="0.25">
      <c r="F477" t="s">
        <v>108</v>
      </c>
      <c r="H477" t="s">
        <v>108</v>
      </c>
    </row>
    <row r="478" spans="6:8" x14ac:dyDescent="0.25">
      <c r="F478" t="s">
        <v>108</v>
      </c>
      <c r="H478" t="s">
        <v>108</v>
      </c>
    </row>
    <row r="479" spans="6:8" x14ac:dyDescent="0.25">
      <c r="F479" t="s">
        <v>108</v>
      </c>
      <c r="H479" t="s">
        <v>108</v>
      </c>
    </row>
    <row r="480" spans="6:8" x14ac:dyDescent="0.25">
      <c r="F480" t="s">
        <v>108</v>
      </c>
      <c r="H480" t="s">
        <v>108</v>
      </c>
    </row>
    <row r="481" spans="6:8" x14ac:dyDescent="0.25">
      <c r="F481" t="s">
        <v>108</v>
      </c>
      <c r="H481" t="s">
        <v>108</v>
      </c>
    </row>
    <row r="482" spans="6:8" x14ac:dyDescent="0.25">
      <c r="F482" t="s">
        <v>108</v>
      </c>
      <c r="H482" t="s">
        <v>108</v>
      </c>
    </row>
    <row r="483" spans="6:8" x14ac:dyDescent="0.25">
      <c r="F483" t="s">
        <v>108</v>
      </c>
      <c r="H483" t="s">
        <v>108</v>
      </c>
    </row>
    <row r="484" spans="6:8" x14ac:dyDescent="0.25">
      <c r="F484" t="s">
        <v>108</v>
      </c>
      <c r="H484" t="s">
        <v>108</v>
      </c>
    </row>
    <row r="485" spans="6:8" x14ac:dyDescent="0.25">
      <c r="F485" t="s">
        <v>108</v>
      </c>
      <c r="H485" t="s">
        <v>108</v>
      </c>
    </row>
    <row r="486" spans="6:8" x14ac:dyDescent="0.25">
      <c r="F486" t="s">
        <v>108</v>
      </c>
      <c r="H486" t="s">
        <v>108</v>
      </c>
    </row>
    <row r="487" spans="6:8" x14ac:dyDescent="0.25">
      <c r="F487" t="s">
        <v>108</v>
      </c>
      <c r="H487" t="s">
        <v>108</v>
      </c>
    </row>
    <row r="488" spans="6:8" x14ac:dyDescent="0.25">
      <c r="F488" t="s">
        <v>108</v>
      </c>
      <c r="H488" t="s">
        <v>108</v>
      </c>
    </row>
    <row r="489" spans="6:8" x14ac:dyDescent="0.25">
      <c r="F489" t="s">
        <v>108</v>
      </c>
      <c r="H489" t="s">
        <v>108</v>
      </c>
    </row>
    <row r="490" spans="6:8" x14ac:dyDescent="0.25">
      <c r="F490" t="s">
        <v>108</v>
      </c>
      <c r="H490" t="s">
        <v>108</v>
      </c>
    </row>
    <row r="491" spans="6:8" x14ac:dyDescent="0.25">
      <c r="F491" t="s">
        <v>108</v>
      </c>
      <c r="H491" t="s">
        <v>108</v>
      </c>
    </row>
    <row r="492" spans="6:8" x14ac:dyDescent="0.25">
      <c r="F492" t="s">
        <v>108</v>
      </c>
      <c r="H492" t="s">
        <v>108</v>
      </c>
    </row>
    <row r="493" spans="6:8" x14ac:dyDescent="0.25">
      <c r="F493" t="s">
        <v>108</v>
      </c>
      <c r="H493" t="s">
        <v>108</v>
      </c>
    </row>
    <row r="494" spans="6:8" x14ac:dyDescent="0.25">
      <c r="F494" t="s">
        <v>108</v>
      </c>
      <c r="H494" t="s">
        <v>108</v>
      </c>
    </row>
    <row r="495" spans="6:8" x14ac:dyDescent="0.25">
      <c r="F495" t="s">
        <v>108</v>
      </c>
      <c r="H495" t="s">
        <v>108</v>
      </c>
    </row>
    <row r="496" spans="6:8" x14ac:dyDescent="0.25">
      <c r="F496" t="s">
        <v>108</v>
      </c>
      <c r="H496" t="s">
        <v>108</v>
      </c>
    </row>
    <row r="497" spans="6:8" x14ac:dyDescent="0.25">
      <c r="F497" t="s">
        <v>108</v>
      </c>
      <c r="H497" t="s">
        <v>108</v>
      </c>
    </row>
    <row r="498" spans="6:8" x14ac:dyDescent="0.25">
      <c r="F498" t="s">
        <v>108</v>
      </c>
      <c r="H498" t="s">
        <v>108</v>
      </c>
    </row>
    <row r="499" spans="6:8" x14ac:dyDescent="0.25">
      <c r="F499" t="s">
        <v>108</v>
      </c>
      <c r="H499" t="s">
        <v>108</v>
      </c>
    </row>
    <row r="500" spans="6:8" x14ac:dyDescent="0.25">
      <c r="F500" t="s">
        <v>108</v>
      </c>
      <c r="H500" t="s">
        <v>108</v>
      </c>
    </row>
    <row r="501" spans="6:8" x14ac:dyDescent="0.25">
      <c r="F501" t="s">
        <v>108</v>
      </c>
      <c r="H501" t="s">
        <v>108</v>
      </c>
    </row>
    <row r="502" spans="6:8" x14ac:dyDescent="0.25">
      <c r="F502" t="s">
        <v>108</v>
      </c>
      <c r="H502" t="s">
        <v>108</v>
      </c>
    </row>
    <row r="503" spans="6:8" x14ac:dyDescent="0.25">
      <c r="F503" t="s">
        <v>108</v>
      </c>
      <c r="H503" t="s">
        <v>108</v>
      </c>
    </row>
    <row r="504" spans="6:8" x14ac:dyDescent="0.25">
      <c r="F504" t="s">
        <v>108</v>
      </c>
      <c r="H504" t="s">
        <v>108</v>
      </c>
    </row>
    <row r="505" spans="6:8" x14ac:dyDescent="0.25">
      <c r="F505" t="s">
        <v>108</v>
      </c>
      <c r="H505" t="s">
        <v>108</v>
      </c>
    </row>
    <row r="506" spans="6:8" x14ac:dyDescent="0.25">
      <c r="F506" t="s">
        <v>108</v>
      </c>
      <c r="H506" t="s">
        <v>108</v>
      </c>
    </row>
    <row r="507" spans="6:8" x14ac:dyDescent="0.25">
      <c r="F507" t="s">
        <v>108</v>
      </c>
      <c r="H507" t="s">
        <v>108</v>
      </c>
    </row>
    <row r="508" spans="6:8" x14ac:dyDescent="0.25">
      <c r="F508" t="s">
        <v>108</v>
      </c>
      <c r="H508" t="s">
        <v>108</v>
      </c>
    </row>
    <row r="509" spans="6:8" x14ac:dyDescent="0.25">
      <c r="F509" t="s">
        <v>108</v>
      </c>
      <c r="H509" t="s">
        <v>108</v>
      </c>
    </row>
    <row r="510" spans="6:8" x14ac:dyDescent="0.25">
      <c r="F510" t="s">
        <v>108</v>
      </c>
      <c r="H510" t="s">
        <v>108</v>
      </c>
    </row>
    <row r="511" spans="6:8" x14ac:dyDescent="0.25">
      <c r="F511" t="s">
        <v>108</v>
      </c>
      <c r="H511" t="s">
        <v>108</v>
      </c>
    </row>
    <row r="512" spans="6:8" x14ac:dyDescent="0.25">
      <c r="F512" t="s">
        <v>108</v>
      </c>
      <c r="H512" t="s">
        <v>108</v>
      </c>
    </row>
    <row r="513" spans="6:8" x14ac:dyDescent="0.25">
      <c r="F513" t="s">
        <v>108</v>
      </c>
      <c r="H513" t="s">
        <v>108</v>
      </c>
    </row>
    <row r="514" spans="6:8" x14ac:dyDescent="0.25">
      <c r="F514" t="s">
        <v>108</v>
      </c>
      <c r="H514" t="s">
        <v>108</v>
      </c>
    </row>
    <row r="515" spans="6:8" x14ac:dyDescent="0.25">
      <c r="F515" t="s">
        <v>108</v>
      </c>
      <c r="H515" t="s">
        <v>108</v>
      </c>
    </row>
    <row r="516" spans="6:8" x14ac:dyDescent="0.25">
      <c r="F516" t="s">
        <v>108</v>
      </c>
      <c r="H516" t="s">
        <v>108</v>
      </c>
    </row>
    <row r="517" spans="6:8" x14ac:dyDescent="0.25">
      <c r="F517" t="s">
        <v>108</v>
      </c>
      <c r="H517" t="s">
        <v>108</v>
      </c>
    </row>
    <row r="518" spans="6:8" x14ac:dyDescent="0.25">
      <c r="F518" t="s">
        <v>108</v>
      </c>
      <c r="H518" t="s">
        <v>108</v>
      </c>
    </row>
    <row r="519" spans="6:8" x14ac:dyDescent="0.25">
      <c r="F519" t="s">
        <v>108</v>
      </c>
      <c r="H519" t="s">
        <v>108</v>
      </c>
    </row>
    <row r="520" spans="6:8" x14ac:dyDescent="0.25">
      <c r="F520" t="s">
        <v>108</v>
      </c>
      <c r="H520" t="s">
        <v>108</v>
      </c>
    </row>
    <row r="521" spans="6:8" x14ac:dyDescent="0.25">
      <c r="F521" t="s">
        <v>108</v>
      </c>
      <c r="H521" t="s">
        <v>108</v>
      </c>
    </row>
    <row r="522" spans="6:8" x14ac:dyDescent="0.25">
      <c r="F522" t="s">
        <v>108</v>
      </c>
      <c r="H522" t="s">
        <v>108</v>
      </c>
    </row>
    <row r="523" spans="6:8" x14ac:dyDescent="0.25">
      <c r="F523" t="s">
        <v>108</v>
      </c>
      <c r="H523" t="s">
        <v>108</v>
      </c>
    </row>
    <row r="524" spans="6:8" x14ac:dyDescent="0.25">
      <c r="F524" t="s">
        <v>108</v>
      </c>
      <c r="H524" t="s">
        <v>108</v>
      </c>
    </row>
    <row r="525" spans="6:8" x14ac:dyDescent="0.25">
      <c r="F525" t="s">
        <v>108</v>
      </c>
      <c r="H525" t="s">
        <v>108</v>
      </c>
    </row>
    <row r="526" spans="6:8" x14ac:dyDescent="0.25">
      <c r="F526" t="s">
        <v>108</v>
      </c>
      <c r="H526" t="s">
        <v>108</v>
      </c>
    </row>
    <row r="527" spans="6:8" x14ac:dyDescent="0.25">
      <c r="F527" t="s">
        <v>108</v>
      </c>
      <c r="H527" t="s">
        <v>108</v>
      </c>
    </row>
    <row r="528" spans="6:8" x14ac:dyDescent="0.25">
      <c r="F528" t="s">
        <v>108</v>
      </c>
      <c r="H528" t="s">
        <v>108</v>
      </c>
    </row>
    <row r="529" spans="6:8" x14ac:dyDescent="0.25">
      <c r="F529" t="s">
        <v>108</v>
      </c>
      <c r="H529" t="s">
        <v>108</v>
      </c>
    </row>
    <row r="530" spans="6:8" x14ac:dyDescent="0.25">
      <c r="F530" t="s">
        <v>108</v>
      </c>
      <c r="H530" t="s">
        <v>108</v>
      </c>
    </row>
    <row r="531" spans="6:8" x14ac:dyDescent="0.25">
      <c r="F531" t="s">
        <v>108</v>
      </c>
      <c r="H531" t="s">
        <v>108</v>
      </c>
    </row>
    <row r="532" spans="6:8" x14ac:dyDescent="0.25">
      <c r="F532" t="s">
        <v>108</v>
      </c>
      <c r="H532" t="s">
        <v>108</v>
      </c>
    </row>
    <row r="533" spans="6:8" x14ac:dyDescent="0.25">
      <c r="F533" t="s">
        <v>108</v>
      </c>
      <c r="H533" t="s">
        <v>108</v>
      </c>
    </row>
    <row r="534" spans="6:8" x14ac:dyDescent="0.25">
      <c r="F534" t="s">
        <v>108</v>
      </c>
      <c r="H534" t="s">
        <v>108</v>
      </c>
    </row>
    <row r="535" spans="6:8" x14ac:dyDescent="0.25">
      <c r="F535" t="s">
        <v>108</v>
      </c>
      <c r="H535" t="s">
        <v>108</v>
      </c>
    </row>
    <row r="536" spans="6:8" x14ac:dyDescent="0.25">
      <c r="F536" t="s">
        <v>108</v>
      </c>
      <c r="H536" t="s">
        <v>108</v>
      </c>
    </row>
    <row r="537" spans="6:8" x14ac:dyDescent="0.25">
      <c r="F537" t="s">
        <v>108</v>
      </c>
      <c r="H537" t="s">
        <v>108</v>
      </c>
    </row>
    <row r="538" spans="6:8" x14ac:dyDescent="0.25">
      <c r="F538" t="s">
        <v>108</v>
      </c>
      <c r="H538" t="s">
        <v>108</v>
      </c>
    </row>
    <row r="539" spans="6:8" x14ac:dyDescent="0.25">
      <c r="F539" t="s">
        <v>108</v>
      </c>
      <c r="H539" t="s">
        <v>108</v>
      </c>
    </row>
    <row r="540" spans="6:8" x14ac:dyDescent="0.25">
      <c r="F540" t="s">
        <v>108</v>
      </c>
      <c r="H540" t="s">
        <v>108</v>
      </c>
    </row>
    <row r="541" spans="6:8" x14ac:dyDescent="0.25">
      <c r="F541" t="s">
        <v>108</v>
      </c>
      <c r="H541" t="s">
        <v>108</v>
      </c>
    </row>
    <row r="542" spans="6:8" x14ac:dyDescent="0.25">
      <c r="F542" t="s">
        <v>108</v>
      </c>
      <c r="H542" t="s">
        <v>108</v>
      </c>
    </row>
    <row r="543" spans="6:8" x14ac:dyDescent="0.25">
      <c r="F543" t="s">
        <v>108</v>
      </c>
      <c r="H543" t="s">
        <v>108</v>
      </c>
    </row>
    <row r="544" spans="6:8" x14ac:dyDescent="0.25">
      <c r="F544" t="s">
        <v>108</v>
      </c>
      <c r="H544" t="s">
        <v>108</v>
      </c>
    </row>
    <row r="545" spans="6:8" x14ac:dyDescent="0.25">
      <c r="F545" t="s">
        <v>108</v>
      </c>
      <c r="H545" t="s">
        <v>108</v>
      </c>
    </row>
    <row r="546" spans="6:8" x14ac:dyDescent="0.25">
      <c r="F546" t="s">
        <v>108</v>
      </c>
      <c r="H546" t="s">
        <v>108</v>
      </c>
    </row>
    <row r="547" spans="6:8" x14ac:dyDescent="0.25">
      <c r="F547" t="s">
        <v>108</v>
      </c>
      <c r="H547" t="s">
        <v>108</v>
      </c>
    </row>
    <row r="548" spans="6:8" x14ac:dyDescent="0.25">
      <c r="F548" t="s">
        <v>108</v>
      </c>
      <c r="H548" t="s">
        <v>108</v>
      </c>
    </row>
    <row r="549" spans="6:8" x14ac:dyDescent="0.25">
      <c r="F549" t="s">
        <v>108</v>
      </c>
      <c r="H549" t="s">
        <v>108</v>
      </c>
    </row>
    <row r="550" spans="6:8" x14ac:dyDescent="0.25">
      <c r="F550" t="s">
        <v>108</v>
      </c>
      <c r="H550" t="s">
        <v>108</v>
      </c>
    </row>
    <row r="551" spans="6:8" x14ac:dyDescent="0.25">
      <c r="F551" t="s">
        <v>108</v>
      </c>
      <c r="H551" t="s">
        <v>108</v>
      </c>
    </row>
    <row r="552" spans="6:8" x14ac:dyDescent="0.25">
      <c r="F552" t="s">
        <v>108</v>
      </c>
      <c r="H552" t="s">
        <v>108</v>
      </c>
    </row>
    <row r="553" spans="6:8" x14ac:dyDescent="0.25">
      <c r="F553" t="s">
        <v>108</v>
      </c>
      <c r="H553" t="s">
        <v>108</v>
      </c>
    </row>
    <row r="554" spans="6:8" x14ac:dyDescent="0.25">
      <c r="F554" t="s">
        <v>108</v>
      </c>
      <c r="H554" t="s">
        <v>108</v>
      </c>
    </row>
    <row r="555" spans="6:8" x14ac:dyDescent="0.25">
      <c r="F555" t="s">
        <v>108</v>
      </c>
      <c r="H555" t="s">
        <v>108</v>
      </c>
    </row>
    <row r="556" spans="6:8" x14ac:dyDescent="0.25">
      <c r="F556" t="s">
        <v>108</v>
      </c>
      <c r="H556" t="s">
        <v>108</v>
      </c>
    </row>
    <row r="557" spans="6:8" x14ac:dyDescent="0.25">
      <c r="F557" t="s">
        <v>108</v>
      </c>
      <c r="H557" t="s">
        <v>108</v>
      </c>
    </row>
    <row r="558" spans="6:8" x14ac:dyDescent="0.25">
      <c r="F558" t="s">
        <v>108</v>
      </c>
      <c r="H558" t="s">
        <v>108</v>
      </c>
    </row>
    <row r="559" spans="6:8" x14ac:dyDescent="0.25">
      <c r="F559" t="s">
        <v>108</v>
      </c>
      <c r="H559" t="s">
        <v>108</v>
      </c>
    </row>
    <row r="560" spans="6:8" x14ac:dyDescent="0.25">
      <c r="F560" t="s">
        <v>108</v>
      </c>
      <c r="H560" t="s">
        <v>108</v>
      </c>
    </row>
    <row r="561" spans="6:8" x14ac:dyDescent="0.25">
      <c r="F561" t="s">
        <v>108</v>
      </c>
      <c r="H561" t="s">
        <v>108</v>
      </c>
    </row>
    <row r="562" spans="6:8" x14ac:dyDescent="0.25">
      <c r="F562" t="s">
        <v>108</v>
      </c>
      <c r="H562" t="s">
        <v>108</v>
      </c>
    </row>
    <row r="563" spans="6:8" x14ac:dyDescent="0.25">
      <c r="F563" t="s">
        <v>108</v>
      </c>
      <c r="H563" t="s">
        <v>108</v>
      </c>
    </row>
    <row r="564" spans="6:8" x14ac:dyDescent="0.25">
      <c r="F564" t="s">
        <v>108</v>
      </c>
      <c r="H564" t="s">
        <v>108</v>
      </c>
    </row>
    <row r="565" spans="6:8" x14ac:dyDescent="0.25">
      <c r="F565" t="s">
        <v>108</v>
      </c>
      <c r="H565" t="s">
        <v>108</v>
      </c>
    </row>
    <row r="566" spans="6:8" x14ac:dyDescent="0.25">
      <c r="F566" t="s">
        <v>108</v>
      </c>
      <c r="H566" t="s">
        <v>108</v>
      </c>
    </row>
    <row r="567" spans="6:8" x14ac:dyDescent="0.25">
      <c r="F567" t="s">
        <v>108</v>
      </c>
      <c r="H567" t="s">
        <v>108</v>
      </c>
    </row>
    <row r="568" spans="6:8" x14ac:dyDescent="0.25">
      <c r="F568" t="s">
        <v>108</v>
      </c>
      <c r="H568" t="s">
        <v>108</v>
      </c>
    </row>
    <row r="569" spans="6:8" x14ac:dyDescent="0.25">
      <c r="F569" t="s">
        <v>108</v>
      </c>
      <c r="H569" t="s">
        <v>108</v>
      </c>
    </row>
    <row r="570" spans="6:8" x14ac:dyDescent="0.25">
      <c r="F570" t="s">
        <v>108</v>
      </c>
      <c r="H570" t="s">
        <v>108</v>
      </c>
    </row>
    <row r="571" spans="6:8" x14ac:dyDescent="0.25">
      <c r="F571" t="s">
        <v>108</v>
      </c>
      <c r="H571" t="s">
        <v>108</v>
      </c>
    </row>
    <row r="572" spans="6:8" x14ac:dyDescent="0.25">
      <c r="F572" t="s">
        <v>108</v>
      </c>
      <c r="H572" t="s">
        <v>108</v>
      </c>
    </row>
    <row r="573" spans="6:8" x14ac:dyDescent="0.25">
      <c r="F573" t="s">
        <v>108</v>
      </c>
      <c r="H573" t="s">
        <v>108</v>
      </c>
    </row>
    <row r="574" spans="6:8" x14ac:dyDescent="0.25">
      <c r="F574" t="s">
        <v>108</v>
      </c>
      <c r="H574" t="s">
        <v>108</v>
      </c>
    </row>
    <row r="575" spans="6:8" x14ac:dyDescent="0.25">
      <c r="F575" t="s">
        <v>108</v>
      </c>
      <c r="H575" t="s">
        <v>108</v>
      </c>
    </row>
    <row r="576" spans="6:8" x14ac:dyDescent="0.25">
      <c r="F576" t="s">
        <v>108</v>
      </c>
      <c r="H576" t="s">
        <v>108</v>
      </c>
    </row>
    <row r="577" spans="6:8" x14ac:dyDescent="0.25">
      <c r="F577" t="s">
        <v>108</v>
      </c>
      <c r="H577" t="s">
        <v>108</v>
      </c>
    </row>
    <row r="578" spans="6:8" x14ac:dyDescent="0.25">
      <c r="F578" t="s">
        <v>108</v>
      </c>
      <c r="H578" t="s">
        <v>108</v>
      </c>
    </row>
    <row r="579" spans="6:8" x14ac:dyDescent="0.25">
      <c r="F579" t="s">
        <v>108</v>
      </c>
      <c r="H579" t="s">
        <v>108</v>
      </c>
    </row>
    <row r="580" spans="6:8" x14ac:dyDescent="0.25">
      <c r="F580" t="s">
        <v>108</v>
      </c>
      <c r="H580" t="s">
        <v>108</v>
      </c>
    </row>
    <row r="581" spans="6:8" x14ac:dyDescent="0.25">
      <c r="F581" t="s">
        <v>108</v>
      </c>
      <c r="H581" t="s">
        <v>108</v>
      </c>
    </row>
    <row r="582" spans="6:8" x14ac:dyDescent="0.25">
      <c r="F582" t="s">
        <v>108</v>
      </c>
      <c r="H582" t="s">
        <v>108</v>
      </c>
    </row>
    <row r="583" spans="6:8" x14ac:dyDescent="0.25">
      <c r="F583" t="s">
        <v>108</v>
      </c>
      <c r="H583" t="s">
        <v>108</v>
      </c>
    </row>
    <row r="584" spans="6:8" x14ac:dyDescent="0.25">
      <c r="F584" t="s">
        <v>108</v>
      </c>
      <c r="H584" t="s">
        <v>108</v>
      </c>
    </row>
    <row r="585" spans="6:8" x14ac:dyDescent="0.25">
      <c r="F585" t="s">
        <v>108</v>
      </c>
      <c r="H585" t="s">
        <v>108</v>
      </c>
    </row>
    <row r="586" spans="6:8" x14ac:dyDescent="0.25">
      <c r="F586" t="s">
        <v>108</v>
      </c>
      <c r="H586" t="s">
        <v>108</v>
      </c>
    </row>
    <row r="587" spans="6:8" x14ac:dyDescent="0.25">
      <c r="F587" t="s">
        <v>108</v>
      </c>
      <c r="H587" t="s">
        <v>108</v>
      </c>
    </row>
    <row r="588" spans="6:8" x14ac:dyDescent="0.25">
      <c r="F588" t="s">
        <v>108</v>
      </c>
      <c r="H588" t="s">
        <v>108</v>
      </c>
    </row>
    <row r="589" spans="6:8" x14ac:dyDescent="0.25">
      <c r="F589" t="s">
        <v>108</v>
      </c>
      <c r="H589" t="s">
        <v>108</v>
      </c>
    </row>
    <row r="590" spans="6:8" x14ac:dyDescent="0.25">
      <c r="F590" t="s">
        <v>108</v>
      </c>
      <c r="H590" t="s">
        <v>108</v>
      </c>
    </row>
    <row r="591" spans="6:8" x14ac:dyDescent="0.25">
      <c r="F591" t="s">
        <v>108</v>
      </c>
      <c r="H591" t="s">
        <v>108</v>
      </c>
    </row>
    <row r="592" spans="6:8" x14ac:dyDescent="0.25">
      <c r="F592" t="s">
        <v>108</v>
      </c>
      <c r="H592" t="s">
        <v>108</v>
      </c>
    </row>
    <row r="593" spans="6:8" x14ac:dyDescent="0.25">
      <c r="F593" t="s">
        <v>108</v>
      </c>
      <c r="H593" t="s">
        <v>108</v>
      </c>
    </row>
    <row r="594" spans="6:8" x14ac:dyDescent="0.25">
      <c r="F594" t="s">
        <v>108</v>
      </c>
      <c r="H594" t="s">
        <v>108</v>
      </c>
    </row>
    <row r="595" spans="6:8" x14ac:dyDescent="0.25">
      <c r="F595" t="s">
        <v>108</v>
      </c>
      <c r="H595" t="s">
        <v>108</v>
      </c>
    </row>
    <row r="596" spans="6:8" x14ac:dyDescent="0.25">
      <c r="F596" t="s">
        <v>108</v>
      </c>
      <c r="H596" t="s">
        <v>108</v>
      </c>
    </row>
    <row r="597" spans="6:8" x14ac:dyDescent="0.25">
      <c r="F597" t="s">
        <v>108</v>
      </c>
      <c r="H597" t="s">
        <v>108</v>
      </c>
    </row>
    <row r="598" spans="6:8" x14ac:dyDescent="0.25">
      <c r="F598" t="s">
        <v>108</v>
      </c>
      <c r="H598" t="s">
        <v>108</v>
      </c>
    </row>
    <row r="599" spans="6:8" x14ac:dyDescent="0.25">
      <c r="F599" t="s">
        <v>108</v>
      </c>
      <c r="H599" t="s">
        <v>108</v>
      </c>
    </row>
    <row r="600" spans="6:8" x14ac:dyDescent="0.25">
      <c r="F600" t="s">
        <v>108</v>
      </c>
      <c r="H600" t="s">
        <v>108</v>
      </c>
    </row>
    <row r="601" spans="6:8" x14ac:dyDescent="0.25">
      <c r="F601" t="s">
        <v>108</v>
      </c>
      <c r="H601" t="s">
        <v>108</v>
      </c>
    </row>
    <row r="602" spans="6:8" x14ac:dyDescent="0.25">
      <c r="F602" t="s">
        <v>108</v>
      </c>
      <c r="H602" t="s">
        <v>108</v>
      </c>
    </row>
    <row r="603" spans="6:8" x14ac:dyDescent="0.25">
      <c r="F603" t="s">
        <v>108</v>
      </c>
      <c r="H603" t="s">
        <v>108</v>
      </c>
    </row>
    <row r="604" spans="6:8" x14ac:dyDescent="0.25">
      <c r="F604" t="s">
        <v>108</v>
      </c>
      <c r="H604" t="s">
        <v>108</v>
      </c>
    </row>
    <row r="605" spans="6:8" x14ac:dyDescent="0.25">
      <c r="F605" t="s">
        <v>108</v>
      </c>
      <c r="H605" t="s">
        <v>108</v>
      </c>
    </row>
    <row r="606" spans="6:8" x14ac:dyDescent="0.25">
      <c r="F606" t="s">
        <v>108</v>
      </c>
      <c r="H606" t="s">
        <v>108</v>
      </c>
    </row>
    <row r="607" spans="6:8" x14ac:dyDescent="0.25">
      <c r="F607" t="s">
        <v>108</v>
      </c>
      <c r="H607" t="s">
        <v>108</v>
      </c>
    </row>
    <row r="608" spans="6:8" x14ac:dyDescent="0.25">
      <c r="F608" t="s">
        <v>108</v>
      </c>
      <c r="H608" t="s">
        <v>108</v>
      </c>
    </row>
    <row r="609" spans="6:8" x14ac:dyDescent="0.25">
      <c r="F609" t="s">
        <v>108</v>
      </c>
      <c r="H609" t="s">
        <v>108</v>
      </c>
    </row>
    <row r="610" spans="6:8" x14ac:dyDescent="0.25">
      <c r="F610" t="s">
        <v>108</v>
      </c>
      <c r="H610" t="s">
        <v>108</v>
      </c>
    </row>
    <row r="611" spans="6:8" x14ac:dyDescent="0.25">
      <c r="F611" t="s">
        <v>108</v>
      </c>
      <c r="H611" t="s">
        <v>108</v>
      </c>
    </row>
    <row r="612" spans="6:8" x14ac:dyDescent="0.25">
      <c r="F612" t="s">
        <v>108</v>
      </c>
      <c r="H612" t="s">
        <v>108</v>
      </c>
    </row>
    <row r="613" spans="6:8" x14ac:dyDescent="0.25">
      <c r="F613" t="s">
        <v>108</v>
      </c>
      <c r="H613" t="s">
        <v>108</v>
      </c>
    </row>
    <row r="614" spans="6:8" x14ac:dyDescent="0.25">
      <c r="F614" t="s">
        <v>108</v>
      </c>
      <c r="H614" t="s">
        <v>108</v>
      </c>
    </row>
    <row r="615" spans="6:8" x14ac:dyDescent="0.25">
      <c r="F615" t="s">
        <v>108</v>
      </c>
      <c r="H615" t="s">
        <v>108</v>
      </c>
    </row>
    <row r="616" spans="6:8" x14ac:dyDescent="0.25">
      <c r="F616" t="s">
        <v>108</v>
      </c>
      <c r="H616" t="s">
        <v>108</v>
      </c>
    </row>
    <row r="617" spans="6:8" x14ac:dyDescent="0.25">
      <c r="F617" t="s">
        <v>108</v>
      </c>
      <c r="H617" t="s">
        <v>108</v>
      </c>
    </row>
    <row r="618" spans="6:8" x14ac:dyDescent="0.25">
      <c r="F618" t="s">
        <v>108</v>
      </c>
      <c r="H618" t="s">
        <v>108</v>
      </c>
    </row>
    <row r="619" spans="6:8" x14ac:dyDescent="0.25">
      <c r="F619" t="s">
        <v>108</v>
      </c>
      <c r="H619" t="s">
        <v>108</v>
      </c>
    </row>
    <row r="620" spans="6:8" x14ac:dyDescent="0.25">
      <c r="F620" t="s">
        <v>108</v>
      </c>
      <c r="H620" t="s">
        <v>108</v>
      </c>
    </row>
    <row r="621" spans="6:8" x14ac:dyDescent="0.25">
      <c r="F621" t="s">
        <v>108</v>
      </c>
      <c r="H621" t="s">
        <v>108</v>
      </c>
    </row>
    <row r="622" spans="6:8" x14ac:dyDescent="0.25">
      <c r="F622" t="s">
        <v>108</v>
      </c>
      <c r="H622" t="s">
        <v>108</v>
      </c>
    </row>
    <row r="623" spans="6:8" x14ac:dyDescent="0.25">
      <c r="F623" t="s">
        <v>108</v>
      </c>
      <c r="H623" t="s">
        <v>108</v>
      </c>
    </row>
    <row r="624" spans="6:8" x14ac:dyDescent="0.25">
      <c r="F624" t="s">
        <v>108</v>
      </c>
      <c r="H624" t="s">
        <v>108</v>
      </c>
    </row>
    <row r="625" spans="6:8" x14ac:dyDescent="0.25">
      <c r="F625" t="s">
        <v>108</v>
      </c>
      <c r="H625" t="s">
        <v>108</v>
      </c>
    </row>
    <row r="626" spans="6:8" x14ac:dyDescent="0.25">
      <c r="F626" t="s">
        <v>108</v>
      </c>
      <c r="H626" t="s">
        <v>108</v>
      </c>
    </row>
    <row r="627" spans="6:8" x14ac:dyDescent="0.25">
      <c r="F627" t="s">
        <v>108</v>
      </c>
      <c r="H627" t="s">
        <v>108</v>
      </c>
    </row>
    <row r="628" spans="6:8" x14ac:dyDescent="0.25">
      <c r="F628" t="s">
        <v>108</v>
      </c>
      <c r="H628" t="s">
        <v>108</v>
      </c>
    </row>
    <row r="629" spans="6:8" x14ac:dyDescent="0.25">
      <c r="F629" t="s">
        <v>108</v>
      </c>
      <c r="H629" t="s">
        <v>108</v>
      </c>
    </row>
    <row r="630" spans="6:8" x14ac:dyDescent="0.25">
      <c r="F630" t="s">
        <v>108</v>
      </c>
      <c r="H630" t="s">
        <v>108</v>
      </c>
    </row>
    <row r="631" spans="6:8" x14ac:dyDescent="0.25">
      <c r="F631" t="s">
        <v>108</v>
      </c>
      <c r="H631" t="s">
        <v>108</v>
      </c>
    </row>
    <row r="632" spans="6:8" x14ac:dyDescent="0.25">
      <c r="F632" t="s">
        <v>108</v>
      </c>
      <c r="H632" t="s">
        <v>108</v>
      </c>
    </row>
    <row r="633" spans="6:8" x14ac:dyDescent="0.25">
      <c r="F633" t="s">
        <v>108</v>
      </c>
      <c r="H633" t="s">
        <v>108</v>
      </c>
    </row>
    <row r="634" spans="6:8" x14ac:dyDescent="0.25">
      <c r="F634" t="s">
        <v>108</v>
      </c>
      <c r="H634" t="s">
        <v>108</v>
      </c>
    </row>
    <row r="635" spans="6:8" x14ac:dyDescent="0.25">
      <c r="F635" t="s">
        <v>108</v>
      </c>
      <c r="H635" t="s">
        <v>108</v>
      </c>
    </row>
    <row r="636" spans="6:8" x14ac:dyDescent="0.25">
      <c r="F636" t="s">
        <v>108</v>
      </c>
      <c r="H636" t="s">
        <v>108</v>
      </c>
    </row>
    <row r="637" spans="6:8" x14ac:dyDescent="0.25">
      <c r="F637" t="s">
        <v>108</v>
      </c>
      <c r="H637" t="s">
        <v>108</v>
      </c>
    </row>
    <row r="638" spans="6:8" x14ac:dyDescent="0.25">
      <c r="F638" t="s">
        <v>108</v>
      </c>
      <c r="H638" t="s">
        <v>108</v>
      </c>
    </row>
    <row r="639" spans="6:8" x14ac:dyDescent="0.25">
      <c r="F639" t="s">
        <v>108</v>
      </c>
      <c r="H639" t="s">
        <v>108</v>
      </c>
    </row>
    <row r="640" spans="6:8" x14ac:dyDescent="0.25">
      <c r="F640" t="s">
        <v>108</v>
      </c>
      <c r="H640" t="s">
        <v>108</v>
      </c>
    </row>
    <row r="641" spans="6:8" x14ac:dyDescent="0.25">
      <c r="F641" t="s">
        <v>108</v>
      </c>
      <c r="H641" t="s">
        <v>108</v>
      </c>
    </row>
    <row r="642" spans="6:8" x14ac:dyDescent="0.25">
      <c r="F642" t="s">
        <v>108</v>
      </c>
      <c r="H642" t="s">
        <v>108</v>
      </c>
    </row>
    <row r="643" spans="6:8" x14ac:dyDescent="0.25">
      <c r="F643" t="s">
        <v>108</v>
      </c>
      <c r="H643" t="s">
        <v>108</v>
      </c>
    </row>
    <row r="644" spans="6:8" x14ac:dyDescent="0.25">
      <c r="F644" t="s">
        <v>108</v>
      </c>
      <c r="H644" t="s">
        <v>108</v>
      </c>
    </row>
    <row r="645" spans="6:8" x14ac:dyDescent="0.25">
      <c r="F645" t="s">
        <v>108</v>
      </c>
      <c r="H645" t="s">
        <v>108</v>
      </c>
    </row>
    <row r="646" spans="6:8" x14ac:dyDescent="0.25">
      <c r="F646" t="s">
        <v>108</v>
      </c>
      <c r="H646" t="s">
        <v>108</v>
      </c>
    </row>
    <row r="647" spans="6:8" x14ac:dyDescent="0.25">
      <c r="F647" t="s">
        <v>108</v>
      </c>
      <c r="H647" t="s">
        <v>108</v>
      </c>
    </row>
    <row r="648" spans="6:8" x14ac:dyDescent="0.25">
      <c r="F648" t="s">
        <v>108</v>
      </c>
      <c r="H648" t="s">
        <v>108</v>
      </c>
    </row>
    <row r="649" spans="6:8" x14ac:dyDescent="0.25">
      <c r="F649" t="s">
        <v>108</v>
      </c>
      <c r="H649" t="s">
        <v>108</v>
      </c>
    </row>
    <row r="650" spans="6:8" x14ac:dyDescent="0.25">
      <c r="F650" t="s">
        <v>108</v>
      </c>
      <c r="H650" t="s">
        <v>108</v>
      </c>
    </row>
    <row r="651" spans="6:8" x14ac:dyDescent="0.25">
      <c r="F651" t="s">
        <v>108</v>
      </c>
      <c r="H651" t="s">
        <v>108</v>
      </c>
    </row>
    <row r="652" spans="6:8" x14ac:dyDescent="0.25">
      <c r="F652" t="s">
        <v>108</v>
      </c>
      <c r="H652" t="s">
        <v>108</v>
      </c>
    </row>
    <row r="653" spans="6:8" x14ac:dyDescent="0.25">
      <c r="F653" t="s">
        <v>108</v>
      </c>
      <c r="H653" t="s">
        <v>108</v>
      </c>
    </row>
    <row r="654" spans="6:8" x14ac:dyDescent="0.25">
      <c r="F654" t="s">
        <v>108</v>
      </c>
      <c r="H654" t="s">
        <v>108</v>
      </c>
    </row>
    <row r="655" spans="6:8" x14ac:dyDescent="0.25">
      <c r="F655" t="s">
        <v>108</v>
      </c>
      <c r="H655" t="s">
        <v>108</v>
      </c>
    </row>
    <row r="656" spans="6:8" x14ac:dyDescent="0.25">
      <c r="F656" t="s">
        <v>108</v>
      </c>
      <c r="H656" t="s">
        <v>108</v>
      </c>
    </row>
    <row r="657" spans="6:8" x14ac:dyDescent="0.25">
      <c r="F657" t="s">
        <v>108</v>
      </c>
      <c r="H657" t="s">
        <v>108</v>
      </c>
    </row>
    <row r="658" spans="6:8" x14ac:dyDescent="0.25">
      <c r="F658" t="s">
        <v>108</v>
      </c>
      <c r="H658" t="s">
        <v>108</v>
      </c>
    </row>
    <row r="659" spans="6:8" x14ac:dyDescent="0.25">
      <c r="F659" t="s">
        <v>108</v>
      </c>
      <c r="H659" t="s">
        <v>108</v>
      </c>
    </row>
    <row r="660" spans="6:8" x14ac:dyDescent="0.25">
      <c r="F660" t="s">
        <v>108</v>
      </c>
      <c r="H660" t="s">
        <v>108</v>
      </c>
    </row>
    <row r="661" spans="6:8" x14ac:dyDescent="0.25">
      <c r="F661" t="s">
        <v>108</v>
      </c>
      <c r="H661" t="s">
        <v>108</v>
      </c>
    </row>
    <row r="662" spans="6:8" x14ac:dyDescent="0.25">
      <c r="F662" t="s">
        <v>108</v>
      </c>
      <c r="H662" t="s">
        <v>108</v>
      </c>
    </row>
    <row r="663" spans="6:8" x14ac:dyDescent="0.25">
      <c r="F663" t="s">
        <v>108</v>
      </c>
      <c r="H663" t="s">
        <v>108</v>
      </c>
    </row>
    <row r="664" spans="6:8" x14ac:dyDescent="0.25">
      <c r="F664" t="s">
        <v>108</v>
      </c>
      <c r="H664" t="s">
        <v>108</v>
      </c>
    </row>
    <row r="665" spans="6:8" x14ac:dyDescent="0.25">
      <c r="F665" t="s">
        <v>108</v>
      </c>
      <c r="H665" t="s">
        <v>108</v>
      </c>
    </row>
    <row r="666" spans="6:8" x14ac:dyDescent="0.25">
      <c r="F666" t="s">
        <v>108</v>
      </c>
      <c r="H666" t="s">
        <v>108</v>
      </c>
    </row>
    <row r="667" spans="6:8" x14ac:dyDescent="0.25">
      <c r="F667" t="s">
        <v>108</v>
      </c>
      <c r="H667" t="s">
        <v>108</v>
      </c>
    </row>
    <row r="668" spans="6:8" x14ac:dyDescent="0.25">
      <c r="F668" t="s">
        <v>108</v>
      </c>
      <c r="H668" t="s">
        <v>108</v>
      </c>
    </row>
    <row r="669" spans="6:8" x14ac:dyDescent="0.25">
      <c r="F669" t="s">
        <v>108</v>
      </c>
      <c r="H669" t="s">
        <v>108</v>
      </c>
    </row>
    <row r="670" spans="6:8" x14ac:dyDescent="0.25">
      <c r="F670" t="s">
        <v>108</v>
      </c>
      <c r="H670" t="s">
        <v>108</v>
      </c>
    </row>
    <row r="671" spans="6:8" x14ac:dyDescent="0.25">
      <c r="F671" t="s">
        <v>108</v>
      </c>
      <c r="H671" t="s">
        <v>108</v>
      </c>
    </row>
    <row r="672" spans="6:8" x14ac:dyDescent="0.25">
      <c r="F672" t="s">
        <v>108</v>
      </c>
      <c r="H672" t="s">
        <v>108</v>
      </c>
    </row>
    <row r="673" spans="6:8" x14ac:dyDescent="0.25">
      <c r="F673" t="s">
        <v>108</v>
      </c>
      <c r="H673" t="s">
        <v>108</v>
      </c>
    </row>
    <row r="674" spans="6:8" x14ac:dyDescent="0.25">
      <c r="F674" t="s">
        <v>108</v>
      </c>
      <c r="H674" t="s">
        <v>108</v>
      </c>
    </row>
    <row r="675" spans="6:8" x14ac:dyDescent="0.25">
      <c r="F675" t="s">
        <v>108</v>
      </c>
      <c r="H675" t="s">
        <v>108</v>
      </c>
    </row>
    <row r="676" spans="6:8" x14ac:dyDescent="0.25">
      <c r="F676" t="s">
        <v>108</v>
      </c>
      <c r="H676" t="s">
        <v>108</v>
      </c>
    </row>
    <row r="677" spans="6:8" x14ac:dyDescent="0.25">
      <c r="F677" t="s">
        <v>108</v>
      </c>
      <c r="H677" t="s">
        <v>108</v>
      </c>
    </row>
    <row r="678" spans="6:8" x14ac:dyDescent="0.25">
      <c r="F678" t="s">
        <v>108</v>
      </c>
      <c r="H678" t="s">
        <v>108</v>
      </c>
    </row>
    <row r="679" spans="6:8" x14ac:dyDescent="0.25">
      <c r="F679" t="s">
        <v>108</v>
      </c>
      <c r="H679" t="s">
        <v>108</v>
      </c>
    </row>
    <row r="680" spans="6:8" x14ac:dyDescent="0.25">
      <c r="F680" t="s">
        <v>108</v>
      </c>
      <c r="H680" t="s">
        <v>108</v>
      </c>
    </row>
    <row r="681" spans="6:8" x14ac:dyDescent="0.25">
      <c r="F681" t="s">
        <v>108</v>
      </c>
      <c r="H681" t="s">
        <v>108</v>
      </c>
    </row>
    <row r="682" spans="6:8" x14ac:dyDescent="0.25">
      <c r="F682" t="s">
        <v>108</v>
      </c>
      <c r="H682" t="s">
        <v>108</v>
      </c>
    </row>
    <row r="683" spans="6:8" x14ac:dyDescent="0.25">
      <c r="F683" t="s">
        <v>108</v>
      </c>
      <c r="H683" t="s">
        <v>108</v>
      </c>
    </row>
    <row r="684" spans="6:8" x14ac:dyDescent="0.25">
      <c r="F684" t="s">
        <v>108</v>
      </c>
      <c r="H684" t="s">
        <v>108</v>
      </c>
    </row>
    <row r="685" spans="6:8" x14ac:dyDescent="0.25">
      <c r="F685" t="s">
        <v>108</v>
      </c>
      <c r="H685" t="s">
        <v>108</v>
      </c>
    </row>
    <row r="686" spans="6:8" x14ac:dyDescent="0.25">
      <c r="F686" t="s">
        <v>108</v>
      </c>
      <c r="H686" t="s">
        <v>108</v>
      </c>
    </row>
    <row r="687" spans="6:8" x14ac:dyDescent="0.25">
      <c r="F687" t="s">
        <v>108</v>
      </c>
      <c r="H687" t="s">
        <v>108</v>
      </c>
    </row>
    <row r="688" spans="6:8" x14ac:dyDescent="0.25">
      <c r="F688" t="s">
        <v>108</v>
      </c>
      <c r="H688" t="s">
        <v>108</v>
      </c>
    </row>
    <row r="689" spans="6:8" x14ac:dyDescent="0.25">
      <c r="F689" t="s">
        <v>108</v>
      </c>
      <c r="H689" t="s">
        <v>108</v>
      </c>
    </row>
    <row r="690" spans="6:8" x14ac:dyDescent="0.25">
      <c r="F690" t="s">
        <v>108</v>
      </c>
      <c r="H690" t="s">
        <v>108</v>
      </c>
    </row>
    <row r="691" spans="6:8" x14ac:dyDescent="0.25">
      <c r="F691" t="s">
        <v>108</v>
      </c>
      <c r="H691" t="s">
        <v>108</v>
      </c>
    </row>
    <row r="692" spans="6:8" x14ac:dyDescent="0.25">
      <c r="F692" t="s">
        <v>108</v>
      </c>
      <c r="H692" t="s">
        <v>108</v>
      </c>
    </row>
    <row r="693" spans="6:8" x14ac:dyDescent="0.25">
      <c r="F693" t="s">
        <v>108</v>
      </c>
      <c r="H693" t="s">
        <v>108</v>
      </c>
    </row>
    <row r="694" spans="6:8" x14ac:dyDescent="0.25">
      <c r="F694" t="s">
        <v>108</v>
      </c>
      <c r="H694" t="s">
        <v>108</v>
      </c>
    </row>
    <row r="695" spans="6:8" x14ac:dyDescent="0.25">
      <c r="F695" t="s">
        <v>108</v>
      </c>
      <c r="H695" t="s">
        <v>108</v>
      </c>
    </row>
    <row r="696" spans="6:8" x14ac:dyDescent="0.25">
      <c r="F696" t="s">
        <v>108</v>
      </c>
      <c r="H696" t="s">
        <v>108</v>
      </c>
    </row>
    <row r="697" spans="6:8" x14ac:dyDescent="0.25">
      <c r="F697" t="s">
        <v>108</v>
      </c>
      <c r="H697" t="s">
        <v>108</v>
      </c>
    </row>
    <row r="698" spans="6:8" x14ac:dyDescent="0.25">
      <c r="F698" t="s">
        <v>108</v>
      </c>
      <c r="H698" t="s">
        <v>108</v>
      </c>
    </row>
    <row r="699" spans="6:8" x14ac:dyDescent="0.25">
      <c r="F699" t="s">
        <v>108</v>
      </c>
      <c r="H699" t="s">
        <v>108</v>
      </c>
    </row>
    <row r="700" spans="6:8" x14ac:dyDescent="0.25">
      <c r="F700" t="s">
        <v>108</v>
      </c>
      <c r="H700" t="s">
        <v>108</v>
      </c>
    </row>
    <row r="701" spans="6:8" x14ac:dyDescent="0.25">
      <c r="F701" t="s">
        <v>108</v>
      </c>
      <c r="H701" t="s">
        <v>108</v>
      </c>
    </row>
    <row r="702" spans="6:8" x14ac:dyDescent="0.25">
      <c r="F702" t="s">
        <v>108</v>
      </c>
      <c r="H702" t="s">
        <v>108</v>
      </c>
    </row>
    <row r="703" spans="6:8" x14ac:dyDescent="0.25">
      <c r="F703" t="s">
        <v>108</v>
      </c>
      <c r="H703" t="s">
        <v>108</v>
      </c>
    </row>
    <row r="704" spans="6:8" x14ac:dyDescent="0.25">
      <c r="F704" t="s">
        <v>108</v>
      </c>
      <c r="H704" t="s">
        <v>108</v>
      </c>
    </row>
    <row r="705" spans="6:8" x14ac:dyDescent="0.25">
      <c r="F705" t="s">
        <v>108</v>
      </c>
      <c r="H705" t="s">
        <v>108</v>
      </c>
    </row>
    <row r="706" spans="6:8" x14ac:dyDescent="0.25">
      <c r="F706" t="s">
        <v>108</v>
      </c>
      <c r="H706" t="s">
        <v>108</v>
      </c>
    </row>
    <row r="707" spans="6:8" x14ac:dyDescent="0.25">
      <c r="F707" t="s">
        <v>108</v>
      </c>
      <c r="H707" t="s">
        <v>108</v>
      </c>
    </row>
    <row r="708" spans="6:8" x14ac:dyDescent="0.25">
      <c r="F708" t="s">
        <v>108</v>
      </c>
      <c r="H708" t="s">
        <v>108</v>
      </c>
    </row>
    <row r="709" spans="6:8" x14ac:dyDescent="0.25">
      <c r="F709" t="s">
        <v>108</v>
      </c>
      <c r="H709" t="s">
        <v>108</v>
      </c>
    </row>
    <row r="710" spans="6:8" x14ac:dyDescent="0.25">
      <c r="F710" t="s">
        <v>108</v>
      </c>
      <c r="H710" t="s">
        <v>108</v>
      </c>
    </row>
    <row r="711" spans="6:8" x14ac:dyDescent="0.25">
      <c r="F711" t="s">
        <v>108</v>
      </c>
      <c r="H711" t="s">
        <v>108</v>
      </c>
    </row>
    <row r="712" spans="6:8" x14ac:dyDescent="0.25">
      <c r="F712" t="s">
        <v>108</v>
      </c>
      <c r="H712" t="s">
        <v>108</v>
      </c>
    </row>
    <row r="713" spans="6:8" x14ac:dyDescent="0.25">
      <c r="F713" t="s">
        <v>108</v>
      </c>
      <c r="H713" t="s">
        <v>108</v>
      </c>
    </row>
    <row r="714" spans="6:8" x14ac:dyDescent="0.25">
      <c r="F714" t="s">
        <v>108</v>
      </c>
      <c r="H714" t="s">
        <v>108</v>
      </c>
    </row>
    <row r="715" spans="6:8" x14ac:dyDescent="0.25">
      <c r="F715" t="s">
        <v>108</v>
      </c>
      <c r="H715" t="s">
        <v>108</v>
      </c>
    </row>
    <row r="716" spans="6:8" x14ac:dyDescent="0.25">
      <c r="F716" t="s">
        <v>108</v>
      </c>
      <c r="H716" t="s">
        <v>108</v>
      </c>
    </row>
    <row r="717" spans="6:8" x14ac:dyDescent="0.25">
      <c r="F717" t="s">
        <v>108</v>
      </c>
      <c r="H717" t="s">
        <v>108</v>
      </c>
    </row>
    <row r="718" spans="6:8" x14ac:dyDescent="0.25">
      <c r="F718" t="s">
        <v>108</v>
      </c>
      <c r="H718" t="s">
        <v>108</v>
      </c>
    </row>
    <row r="719" spans="6:8" x14ac:dyDescent="0.25">
      <c r="F719" t="s">
        <v>108</v>
      </c>
      <c r="H719" t="s">
        <v>108</v>
      </c>
    </row>
    <row r="720" spans="6:8" x14ac:dyDescent="0.25">
      <c r="F720" t="s">
        <v>108</v>
      </c>
      <c r="H720" t="s">
        <v>108</v>
      </c>
    </row>
    <row r="721" spans="6:8" x14ac:dyDescent="0.25">
      <c r="F721" t="s">
        <v>108</v>
      </c>
      <c r="H721" t="s">
        <v>108</v>
      </c>
    </row>
    <row r="722" spans="6:8" x14ac:dyDescent="0.25">
      <c r="F722" t="s">
        <v>108</v>
      </c>
      <c r="H722" t="s">
        <v>108</v>
      </c>
    </row>
    <row r="723" spans="6:8" x14ac:dyDescent="0.25">
      <c r="F723" t="s">
        <v>108</v>
      </c>
      <c r="H723" t="s">
        <v>108</v>
      </c>
    </row>
    <row r="724" spans="6:8" x14ac:dyDescent="0.25">
      <c r="F724" t="s">
        <v>108</v>
      </c>
      <c r="H724" t="s">
        <v>108</v>
      </c>
    </row>
    <row r="725" spans="6:8" x14ac:dyDescent="0.25">
      <c r="F725" t="s">
        <v>108</v>
      </c>
      <c r="H725" t="s">
        <v>108</v>
      </c>
    </row>
    <row r="726" spans="6:8" x14ac:dyDescent="0.25">
      <c r="F726" t="s">
        <v>108</v>
      </c>
      <c r="H726" t="s">
        <v>108</v>
      </c>
    </row>
    <row r="727" spans="6:8" x14ac:dyDescent="0.25">
      <c r="F727" t="s">
        <v>108</v>
      </c>
      <c r="H727" t="s">
        <v>108</v>
      </c>
    </row>
    <row r="728" spans="6:8" x14ac:dyDescent="0.25">
      <c r="F728" t="s">
        <v>108</v>
      </c>
      <c r="H728" t="s">
        <v>108</v>
      </c>
    </row>
    <row r="729" spans="6:8" x14ac:dyDescent="0.25">
      <c r="F729" t="s">
        <v>108</v>
      </c>
      <c r="H729" t="s">
        <v>108</v>
      </c>
    </row>
    <row r="730" spans="6:8" x14ac:dyDescent="0.25">
      <c r="F730" t="s">
        <v>108</v>
      </c>
      <c r="H730" t="s">
        <v>108</v>
      </c>
    </row>
    <row r="731" spans="6:8" x14ac:dyDescent="0.25">
      <c r="F731" t="s">
        <v>108</v>
      </c>
      <c r="H731" t="s">
        <v>108</v>
      </c>
    </row>
    <row r="732" spans="6:8" x14ac:dyDescent="0.25">
      <c r="F732" t="s">
        <v>108</v>
      </c>
      <c r="H732" t="s">
        <v>108</v>
      </c>
    </row>
    <row r="733" spans="6:8" x14ac:dyDescent="0.25">
      <c r="F733" t="s">
        <v>108</v>
      </c>
      <c r="H733" t="s">
        <v>108</v>
      </c>
    </row>
    <row r="734" spans="6:8" x14ac:dyDescent="0.25">
      <c r="F734" t="s">
        <v>108</v>
      </c>
      <c r="H734" t="s">
        <v>108</v>
      </c>
    </row>
    <row r="735" spans="6:8" x14ac:dyDescent="0.25">
      <c r="F735" t="s">
        <v>108</v>
      </c>
      <c r="H735" t="s">
        <v>108</v>
      </c>
    </row>
    <row r="736" spans="6:8" x14ac:dyDescent="0.25">
      <c r="F736" t="s">
        <v>108</v>
      </c>
      <c r="H736" t="s">
        <v>108</v>
      </c>
    </row>
    <row r="737" spans="6:8" x14ac:dyDescent="0.25">
      <c r="F737" t="s">
        <v>108</v>
      </c>
      <c r="H737" t="s">
        <v>108</v>
      </c>
    </row>
    <row r="738" spans="6:8" x14ac:dyDescent="0.25">
      <c r="F738" t="s">
        <v>108</v>
      </c>
      <c r="H738" t="s">
        <v>108</v>
      </c>
    </row>
    <row r="739" spans="6:8" x14ac:dyDescent="0.25">
      <c r="F739" t="s">
        <v>108</v>
      </c>
      <c r="H739" t="s">
        <v>108</v>
      </c>
    </row>
    <row r="740" spans="6:8" x14ac:dyDescent="0.25">
      <c r="F740" t="s">
        <v>108</v>
      </c>
      <c r="H740" t="s">
        <v>108</v>
      </c>
    </row>
    <row r="741" spans="6:8" x14ac:dyDescent="0.25">
      <c r="F741" t="s">
        <v>108</v>
      </c>
      <c r="H741" t="s">
        <v>108</v>
      </c>
    </row>
    <row r="742" spans="6:8" x14ac:dyDescent="0.25">
      <c r="F742" t="s">
        <v>108</v>
      </c>
      <c r="H742" t="s">
        <v>108</v>
      </c>
    </row>
    <row r="743" spans="6:8" x14ac:dyDescent="0.25">
      <c r="F743" t="s">
        <v>108</v>
      </c>
      <c r="H743" t="s">
        <v>108</v>
      </c>
    </row>
    <row r="744" spans="6:8" x14ac:dyDescent="0.25">
      <c r="F744" t="s">
        <v>108</v>
      </c>
      <c r="H744" t="s">
        <v>108</v>
      </c>
    </row>
    <row r="745" spans="6:8" x14ac:dyDescent="0.25">
      <c r="F745" t="s">
        <v>108</v>
      </c>
      <c r="H745" t="s">
        <v>108</v>
      </c>
    </row>
    <row r="746" spans="6:8" x14ac:dyDescent="0.25">
      <c r="F746" t="s">
        <v>108</v>
      </c>
      <c r="H746" t="s">
        <v>108</v>
      </c>
    </row>
    <row r="747" spans="6:8" x14ac:dyDescent="0.25">
      <c r="F747" t="s">
        <v>108</v>
      </c>
      <c r="H747" t="s">
        <v>108</v>
      </c>
    </row>
    <row r="748" spans="6:8" x14ac:dyDescent="0.25">
      <c r="F748" t="s">
        <v>108</v>
      </c>
      <c r="H748" t="s">
        <v>108</v>
      </c>
    </row>
    <row r="749" spans="6:8" x14ac:dyDescent="0.25">
      <c r="F749" t="s">
        <v>108</v>
      </c>
      <c r="H749" t="s">
        <v>108</v>
      </c>
    </row>
    <row r="750" spans="6:8" x14ac:dyDescent="0.25">
      <c r="F750" t="s">
        <v>108</v>
      </c>
      <c r="H750" t="s">
        <v>108</v>
      </c>
    </row>
    <row r="751" spans="6:8" x14ac:dyDescent="0.25">
      <c r="F751" t="s">
        <v>108</v>
      </c>
      <c r="H751" t="s">
        <v>108</v>
      </c>
    </row>
    <row r="752" spans="6:8" x14ac:dyDescent="0.25">
      <c r="F752" t="s">
        <v>108</v>
      </c>
      <c r="H752" t="s">
        <v>108</v>
      </c>
    </row>
    <row r="753" spans="6:8" x14ac:dyDescent="0.25">
      <c r="F753" t="s">
        <v>108</v>
      </c>
      <c r="H753" t="s">
        <v>108</v>
      </c>
    </row>
    <row r="754" spans="6:8" x14ac:dyDescent="0.25">
      <c r="F754" t="s">
        <v>108</v>
      </c>
      <c r="H754" t="s">
        <v>108</v>
      </c>
    </row>
    <row r="755" spans="6:8" x14ac:dyDescent="0.25">
      <c r="F755" t="s">
        <v>108</v>
      </c>
      <c r="H755" t="s">
        <v>108</v>
      </c>
    </row>
    <row r="756" spans="6:8" x14ac:dyDescent="0.25">
      <c r="F756" t="s">
        <v>108</v>
      </c>
      <c r="H756" t="s">
        <v>108</v>
      </c>
    </row>
    <row r="757" spans="6:8" x14ac:dyDescent="0.25">
      <c r="F757" t="s">
        <v>108</v>
      </c>
      <c r="H757" t="s">
        <v>108</v>
      </c>
    </row>
    <row r="758" spans="6:8" x14ac:dyDescent="0.25">
      <c r="F758" t="s">
        <v>108</v>
      </c>
      <c r="H758" t="s">
        <v>108</v>
      </c>
    </row>
    <row r="759" spans="6:8" x14ac:dyDescent="0.25">
      <c r="F759" t="s">
        <v>108</v>
      </c>
      <c r="H759" t="s">
        <v>108</v>
      </c>
    </row>
    <row r="760" spans="6:8" x14ac:dyDescent="0.25">
      <c r="F760" t="s">
        <v>108</v>
      </c>
      <c r="H760" t="s">
        <v>108</v>
      </c>
    </row>
    <row r="761" spans="6:8" x14ac:dyDescent="0.25">
      <c r="F761" t="s">
        <v>108</v>
      </c>
      <c r="H761" t="s">
        <v>108</v>
      </c>
    </row>
    <row r="762" spans="6:8" x14ac:dyDescent="0.25">
      <c r="F762" t="s">
        <v>108</v>
      </c>
      <c r="H762" t="s">
        <v>108</v>
      </c>
    </row>
    <row r="763" spans="6:8" x14ac:dyDescent="0.25">
      <c r="F763" t="s">
        <v>108</v>
      </c>
      <c r="H763" t="s">
        <v>108</v>
      </c>
    </row>
    <row r="764" spans="6:8" x14ac:dyDescent="0.25">
      <c r="F764" t="s">
        <v>108</v>
      </c>
      <c r="H764" t="s">
        <v>108</v>
      </c>
    </row>
    <row r="765" spans="6:8" x14ac:dyDescent="0.25">
      <c r="F765" t="s">
        <v>108</v>
      </c>
      <c r="H765" t="s">
        <v>108</v>
      </c>
    </row>
    <row r="766" spans="6:8" x14ac:dyDescent="0.25">
      <c r="F766" t="s">
        <v>108</v>
      </c>
      <c r="H766" t="s">
        <v>108</v>
      </c>
    </row>
    <row r="767" spans="6:8" x14ac:dyDescent="0.25">
      <c r="F767" t="s">
        <v>108</v>
      </c>
      <c r="H767" t="s">
        <v>108</v>
      </c>
    </row>
    <row r="768" spans="6:8" x14ac:dyDescent="0.25">
      <c r="F768" t="s">
        <v>108</v>
      </c>
      <c r="H768" t="s">
        <v>108</v>
      </c>
    </row>
    <row r="769" spans="6:8" x14ac:dyDescent="0.25">
      <c r="F769" t="s">
        <v>108</v>
      </c>
      <c r="H769" t="s">
        <v>108</v>
      </c>
    </row>
    <row r="770" spans="6:8" x14ac:dyDescent="0.25">
      <c r="F770" t="s">
        <v>108</v>
      </c>
      <c r="H770" t="s">
        <v>108</v>
      </c>
    </row>
    <row r="771" spans="6:8" x14ac:dyDescent="0.25">
      <c r="F771" t="s">
        <v>108</v>
      </c>
      <c r="H771" t="s">
        <v>108</v>
      </c>
    </row>
    <row r="772" spans="6:8" x14ac:dyDescent="0.25">
      <c r="F772" t="s">
        <v>108</v>
      </c>
      <c r="H772" t="s">
        <v>108</v>
      </c>
    </row>
    <row r="773" spans="6:8" x14ac:dyDescent="0.25">
      <c r="F773" t="s">
        <v>108</v>
      </c>
      <c r="H773" t="s">
        <v>108</v>
      </c>
    </row>
    <row r="774" spans="6:8" x14ac:dyDescent="0.25">
      <c r="F774" t="s">
        <v>108</v>
      </c>
      <c r="H774" t="s">
        <v>108</v>
      </c>
    </row>
    <row r="775" spans="6:8" x14ac:dyDescent="0.25">
      <c r="F775" t="s">
        <v>108</v>
      </c>
      <c r="H775" t="s">
        <v>108</v>
      </c>
    </row>
    <row r="776" spans="6:8" x14ac:dyDescent="0.25">
      <c r="F776" t="s">
        <v>108</v>
      </c>
      <c r="H776" t="s">
        <v>108</v>
      </c>
    </row>
    <row r="777" spans="6:8" x14ac:dyDescent="0.25">
      <c r="F777" t="s">
        <v>108</v>
      </c>
      <c r="H777" t="s">
        <v>108</v>
      </c>
    </row>
    <row r="778" spans="6:8" x14ac:dyDescent="0.25">
      <c r="F778" t="s">
        <v>108</v>
      </c>
      <c r="H778" t="s">
        <v>108</v>
      </c>
    </row>
    <row r="779" spans="6:8" x14ac:dyDescent="0.25">
      <c r="F779" t="s">
        <v>108</v>
      </c>
      <c r="H779" t="s">
        <v>108</v>
      </c>
    </row>
    <row r="780" spans="6:8" x14ac:dyDescent="0.25">
      <c r="F780" t="s">
        <v>108</v>
      </c>
      <c r="H780" t="s">
        <v>108</v>
      </c>
    </row>
    <row r="781" spans="6:8" x14ac:dyDescent="0.25">
      <c r="F781" t="s">
        <v>108</v>
      </c>
      <c r="H781" t="s">
        <v>108</v>
      </c>
    </row>
    <row r="782" spans="6:8" x14ac:dyDescent="0.25">
      <c r="F782" t="s">
        <v>108</v>
      </c>
      <c r="H782" t="s">
        <v>108</v>
      </c>
    </row>
    <row r="783" spans="6:8" x14ac:dyDescent="0.25">
      <c r="F783" t="s">
        <v>108</v>
      </c>
      <c r="H783" t="s">
        <v>108</v>
      </c>
    </row>
    <row r="784" spans="6:8" x14ac:dyDescent="0.25">
      <c r="F784" t="s">
        <v>108</v>
      </c>
      <c r="H784" t="s">
        <v>108</v>
      </c>
    </row>
    <row r="785" spans="6:8" x14ac:dyDescent="0.25">
      <c r="F785" t="s">
        <v>108</v>
      </c>
      <c r="H785" t="s">
        <v>108</v>
      </c>
    </row>
    <row r="786" spans="6:8" x14ac:dyDescent="0.25">
      <c r="F786" t="s">
        <v>108</v>
      </c>
      <c r="H786" t="s">
        <v>108</v>
      </c>
    </row>
    <row r="787" spans="6:8" x14ac:dyDescent="0.25">
      <c r="F787" t="s">
        <v>108</v>
      </c>
      <c r="H787" t="s">
        <v>108</v>
      </c>
    </row>
    <row r="788" spans="6:8" x14ac:dyDescent="0.25">
      <c r="F788" t="s">
        <v>108</v>
      </c>
      <c r="H788" t="s">
        <v>108</v>
      </c>
    </row>
    <row r="789" spans="6:8" x14ac:dyDescent="0.25">
      <c r="F789" t="s">
        <v>108</v>
      </c>
      <c r="H789" t="s">
        <v>108</v>
      </c>
    </row>
    <row r="790" spans="6:8" x14ac:dyDescent="0.25">
      <c r="F790" t="s">
        <v>108</v>
      </c>
      <c r="H790" t="s">
        <v>108</v>
      </c>
    </row>
    <row r="791" spans="6:8" x14ac:dyDescent="0.25">
      <c r="F791" t="s">
        <v>108</v>
      </c>
      <c r="H791" t="s">
        <v>108</v>
      </c>
    </row>
    <row r="792" spans="6:8" x14ac:dyDescent="0.25">
      <c r="F792" t="s">
        <v>108</v>
      </c>
      <c r="H792" t="s">
        <v>108</v>
      </c>
    </row>
    <row r="793" spans="6:8" x14ac:dyDescent="0.25">
      <c r="F793" t="s">
        <v>108</v>
      </c>
      <c r="H793" t="s">
        <v>108</v>
      </c>
    </row>
    <row r="794" spans="6:8" x14ac:dyDescent="0.25">
      <c r="F794" t="s">
        <v>108</v>
      </c>
      <c r="H794" t="s">
        <v>108</v>
      </c>
    </row>
    <row r="795" spans="6:8" x14ac:dyDescent="0.25">
      <c r="F795" t="s">
        <v>108</v>
      </c>
      <c r="H795" t="s">
        <v>108</v>
      </c>
    </row>
    <row r="796" spans="6:8" x14ac:dyDescent="0.25">
      <c r="F796" t="s">
        <v>108</v>
      </c>
      <c r="H796" t="s">
        <v>108</v>
      </c>
    </row>
    <row r="797" spans="6:8" x14ac:dyDescent="0.25">
      <c r="F797" t="s">
        <v>108</v>
      </c>
      <c r="H797" t="s">
        <v>108</v>
      </c>
    </row>
    <row r="798" spans="6:8" x14ac:dyDescent="0.25">
      <c r="F798" t="s">
        <v>108</v>
      </c>
      <c r="H798" t="s">
        <v>108</v>
      </c>
    </row>
    <row r="799" spans="6:8" x14ac:dyDescent="0.25">
      <c r="F799" t="s">
        <v>108</v>
      </c>
      <c r="H799" t="s">
        <v>108</v>
      </c>
    </row>
    <row r="800" spans="6:8" x14ac:dyDescent="0.25">
      <c r="F800" t="s">
        <v>108</v>
      </c>
      <c r="H800" t="s">
        <v>108</v>
      </c>
    </row>
    <row r="801" spans="6:8" x14ac:dyDescent="0.25">
      <c r="F801" t="s">
        <v>108</v>
      </c>
      <c r="H801" t="s">
        <v>108</v>
      </c>
    </row>
    <row r="802" spans="6:8" x14ac:dyDescent="0.25">
      <c r="F802" t="s">
        <v>108</v>
      </c>
      <c r="H802" t="s">
        <v>108</v>
      </c>
    </row>
    <row r="803" spans="6:8" x14ac:dyDescent="0.25">
      <c r="F803" t="s">
        <v>108</v>
      </c>
      <c r="H803" t="s">
        <v>108</v>
      </c>
    </row>
    <row r="804" spans="6:8" x14ac:dyDescent="0.25">
      <c r="F804" t="s">
        <v>108</v>
      </c>
      <c r="H804" t="s">
        <v>108</v>
      </c>
    </row>
    <row r="805" spans="6:8" x14ac:dyDescent="0.25">
      <c r="F805" t="s">
        <v>108</v>
      </c>
      <c r="H805" t="s">
        <v>108</v>
      </c>
    </row>
    <row r="806" spans="6:8" x14ac:dyDescent="0.25">
      <c r="F806" t="s">
        <v>108</v>
      </c>
      <c r="H806" t="s">
        <v>108</v>
      </c>
    </row>
    <row r="807" spans="6:8" x14ac:dyDescent="0.25">
      <c r="F807" t="s">
        <v>108</v>
      </c>
      <c r="H807" t="s">
        <v>108</v>
      </c>
    </row>
    <row r="808" spans="6:8" x14ac:dyDescent="0.25">
      <c r="F808" t="s">
        <v>108</v>
      </c>
      <c r="H808" t="s">
        <v>108</v>
      </c>
    </row>
    <row r="809" spans="6:8" x14ac:dyDescent="0.25">
      <c r="F809" t="s">
        <v>108</v>
      </c>
      <c r="H809" t="s">
        <v>108</v>
      </c>
    </row>
    <row r="810" spans="6:8" x14ac:dyDescent="0.25">
      <c r="F810" t="s">
        <v>108</v>
      </c>
      <c r="H810" t="s">
        <v>108</v>
      </c>
    </row>
    <row r="811" spans="6:8" x14ac:dyDescent="0.25">
      <c r="F811" t="s">
        <v>108</v>
      </c>
      <c r="H811" t="s">
        <v>108</v>
      </c>
    </row>
    <row r="812" spans="6:8" x14ac:dyDescent="0.25">
      <c r="F812" t="s">
        <v>108</v>
      </c>
      <c r="H812" t="s">
        <v>108</v>
      </c>
    </row>
    <row r="813" spans="6:8" x14ac:dyDescent="0.25">
      <c r="F813" t="s">
        <v>108</v>
      </c>
      <c r="H813" t="s">
        <v>108</v>
      </c>
    </row>
    <row r="814" spans="6:8" x14ac:dyDescent="0.25">
      <c r="F814" t="s">
        <v>108</v>
      </c>
      <c r="H814" t="s">
        <v>108</v>
      </c>
    </row>
    <row r="815" spans="6:8" x14ac:dyDescent="0.25">
      <c r="F815" t="s">
        <v>108</v>
      </c>
      <c r="H815" t="s">
        <v>108</v>
      </c>
    </row>
    <row r="816" spans="6:8" x14ac:dyDescent="0.25">
      <c r="F816" t="s">
        <v>108</v>
      </c>
      <c r="H816" t="s">
        <v>108</v>
      </c>
    </row>
    <row r="817" spans="6:8" x14ac:dyDescent="0.25">
      <c r="F817" t="s">
        <v>108</v>
      </c>
      <c r="H817" t="s">
        <v>108</v>
      </c>
    </row>
    <row r="818" spans="6:8" x14ac:dyDescent="0.25">
      <c r="F818" t="s">
        <v>108</v>
      </c>
      <c r="H818" t="s">
        <v>108</v>
      </c>
    </row>
    <row r="819" spans="6:8" x14ac:dyDescent="0.25">
      <c r="F819" t="s">
        <v>108</v>
      </c>
      <c r="H819" t="s">
        <v>108</v>
      </c>
    </row>
    <row r="820" spans="6:8" x14ac:dyDescent="0.25">
      <c r="F820" t="s">
        <v>108</v>
      </c>
      <c r="H820" t="s">
        <v>108</v>
      </c>
    </row>
    <row r="821" spans="6:8" x14ac:dyDescent="0.25">
      <c r="F821" t="s">
        <v>108</v>
      </c>
      <c r="H821" t="s">
        <v>108</v>
      </c>
    </row>
    <row r="822" spans="6:8" x14ac:dyDescent="0.25">
      <c r="F822" t="s">
        <v>108</v>
      </c>
      <c r="H822" t="s">
        <v>108</v>
      </c>
    </row>
    <row r="823" spans="6:8" x14ac:dyDescent="0.25">
      <c r="F823" t="s">
        <v>108</v>
      </c>
      <c r="H823" t="s">
        <v>108</v>
      </c>
    </row>
    <row r="824" spans="6:8" x14ac:dyDescent="0.25">
      <c r="F824" t="s">
        <v>108</v>
      </c>
      <c r="H824" t="s">
        <v>108</v>
      </c>
    </row>
    <row r="825" spans="6:8" x14ac:dyDescent="0.25">
      <c r="F825" t="s">
        <v>108</v>
      </c>
      <c r="H825" t="s">
        <v>108</v>
      </c>
    </row>
    <row r="826" spans="6:8" x14ac:dyDescent="0.25">
      <c r="F826" t="s">
        <v>108</v>
      </c>
      <c r="H826" t="s">
        <v>108</v>
      </c>
    </row>
    <row r="827" spans="6:8" x14ac:dyDescent="0.25">
      <c r="F827" t="s">
        <v>108</v>
      </c>
      <c r="H827" t="s">
        <v>108</v>
      </c>
    </row>
    <row r="828" spans="6:8" x14ac:dyDescent="0.25">
      <c r="F828" t="s">
        <v>108</v>
      </c>
      <c r="H828" t="s">
        <v>108</v>
      </c>
    </row>
    <row r="829" spans="6:8" x14ac:dyDescent="0.25">
      <c r="F829" t="s">
        <v>108</v>
      </c>
      <c r="H829" t="s">
        <v>108</v>
      </c>
    </row>
    <row r="830" spans="6:8" x14ac:dyDescent="0.25">
      <c r="F830" t="s">
        <v>108</v>
      </c>
      <c r="H830" t="s">
        <v>108</v>
      </c>
    </row>
    <row r="831" spans="6:8" x14ac:dyDescent="0.25">
      <c r="F831" t="s">
        <v>108</v>
      </c>
      <c r="H831" t="s">
        <v>108</v>
      </c>
    </row>
    <row r="832" spans="6:8" x14ac:dyDescent="0.25">
      <c r="F832" t="s">
        <v>108</v>
      </c>
      <c r="H832" t="s">
        <v>108</v>
      </c>
    </row>
    <row r="833" spans="6:8" x14ac:dyDescent="0.25">
      <c r="F833" t="s">
        <v>108</v>
      </c>
      <c r="H833" t="s">
        <v>108</v>
      </c>
    </row>
    <row r="834" spans="6:8" x14ac:dyDescent="0.25">
      <c r="F834" t="s">
        <v>108</v>
      </c>
      <c r="H834" t="s">
        <v>108</v>
      </c>
    </row>
    <row r="835" spans="6:8" x14ac:dyDescent="0.25">
      <c r="F835" t="s">
        <v>108</v>
      </c>
      <c r="H835" t="s">
        <v>108</v>
      </c>
    </row>
    <row r="836" spans="6:8" x14ac:dyDescent="0.25">
      <c r="F836" t="s">
        <v>108</v>
      </c>
      <c r="H836" t="s">
        <v>108</v>
      </c>
    </row>
    <row r="837" spans="6:8" x14ac:dyDescent="0.25">
      <c r="F837" t="s">
        <v>108</v>
      </c>
      <c r="H837" t="s">
        <v>108</v>
      </c>
    </row>
    <row r="838" spans="6:8" x14ac:dyDescent="0.25">
      <c r="F838" t="s">
        <v>108</v>
      </c>
      <c r="H838" t="s">
        <v>108</v>
      </c>
    </row>
    <row r="839" spans="6:8" x14ac:dyDescent="0.25">
      <c r="F839" t="s">
        <v>108</v>
      </c>
      <c r="H839" t="s">
        <v>108</v>
      </c>
    </row>
    <row r="840" spans="6:8" x14ac:dyDescent="0.25">
      <c r="F840" t="s">
        <v>108</v>
      </c>
      <c r="H840" t="s">
        <v>108</v>
      </c>
    </row>
    <row r="841" spans="6:8" x14ac:dyDescent="0.25">
      <c r="F841" t="s">
        <v>108</v>
      </c>
      <c r="H841" t="s">
        <v>108</v>
      </c>
    </row>
    <row r="842" spans="6:8" x14ac:dyDescent="0.25">
      <c r="F842" t="s">
        <v>108</v>
      </c>
      <c r="H842" t="s">
        <v>108</v>
      </c>
    </row>
    <row r="843" spans="6:8" x14ac:dyDescent="0.25">
      <c r="F843" t="s">
        <v>108</v>
      </c>
      <c r="H843" t="s">
        <v>108</v>
      </c>
    </row>
    <row r="844" spans="6:8" x14ac:dyDescent="0.25">
      <c r="F844" t="s">
        <v>108</v>
      </c>
      <c r="H844" t="s">
        <v>108</v>
      </c>
    </row>
    <row r="845" spans="6:8" x14ac:dyDescent="0.25">
      <c r="F845" t="s">
        <v>108</v>
      </c>
      <c r="H845" t="s">
        <v>108</v>
      </c>
    </row>
    <row r="846" spans="6:8" x14ac:dyDescent="0.25">
      <c r="F846" t="s">
        <v>108</v>
      </c>
      <c r="H846" t="s">
        <v>108</v>
      </c>
    </row>
    <row r="847" spans="6:8" x14ac:dyDescent="0.25">
      <c r="F847" t="s">
        <v>108</v>
      </c>
      <c r="H847" t="s">
        <v>108</v>
      </c>
    </row>
    <row r="848" spans="6:8" x14ac:dyDescent="0.25">
      <c r="F848" t="s">
        <v>108</v>
      </c>
      <c r="H848" t="s">
        <v>108</v>
      </c>
    </row>
    <row r="849" spans="6:8" x14ac:dyDescent="0.25">
      <c r="F849" t="s">
        <v>108</v>
      </c>
      <c r="H849" t="s">
        <v>108</v>
      </c>
    </row>
    <row r="850" spans="6:8" x14ac:dyDescent="0.25">
      <c r="F850" t="s">
        <v>108</v>
      </c>
      <c r="H850" t="s">
        <v>108</v>
      </c>
    </row>
    <row r="851" spans="6:8" x14ac:dyDescent="0.25">
      <c r="F851" t="s">
        <v>108</v>
      </c>
      <c r="H851" t="s">
        <v>108</v>
      </c>
    </row>
    <row r="852" spans="6:8" x14ac:dyDescent="0.25">
      <c r="F852" t="s">
        <v>108</v>
      </c>
      <c r="H852" t="s">
        <v>108</v>
      </c>
    </row>
    <row r="853" spans="6:8" x14ac:dyDescent="0.25">
      <c r="F853" t="s">
        <v>108</v>
      </c>
      <c r="H853" t="s">
        <v>108</v>
      </c>
    </row>
    <row r="854" spans="6:8" x14ac:dyDescent="0.25">
      <c r="F854" t="s">
        <v>108</v>
      </c>
      <c r="H854" t="s">
        <v>108</v>
      </c>
    </row>
    <row r="855" spans="6:8" x14ac:dyDescent="0.25">
      <c r="F855" t="s">
        <v>108</v>
      </c>
      <c r="H855" t="s">
        <v>108</v>
      </c>
    </row>
    <row r="856" spans="6:8" x14ac:dyDescent="0.25">
      <c r="F856" t="s">
        <v>108</v>
      </c>
      <c r="H856" t="s">
        <v>108</v>
      </c>
    </row>
    <row r="857" spans="6:8" x14ac:dyDescent="0.25">
      <c r="F857" t="s">
        <v>108</v>
      </c>
      <c r="H857" t="s">
        <v>108</v>
      </c>
    </row>
    <row r="858" spans="6:8" x14ac:dyDescent="0.25">
      <c r="F858" t="s">
        <v>108</v>
      </c>
      <c r="H858" t="s">
        <v>108</v>
      </c>
    </row>
    <row r="859" spans="6:8" x14ac:dyDescent="0.25">
      <c r="F859" t="s">
        <v>108</v>
      </c>
      <c r="H859" t="s">
        <v>108</v>
      </c>
    </row>
    <row r="860" spans="6:8" x14ac:dyDescent="0.25">
      <c r="F860" t="s">
        <v>108</v>
      </c>
      <c r="H860" t="s">
        <v>108</v>
      </c>
    </row>
    <row r="861" spans="6:8" x14ac:dyDescent="0.25">
      <c r="F861" t="s">
        <v>108</v>
      </c>
      <c r="H861" t="s">
        <v>108</v>
      </c>
    </row>
    <row r="862" spans="6:8" x14ac:dyDescent="0.25">
      <c r="F862" t="s">
        <v>108</v>
      </c>
      <c r="H862" t="s">
        <v>108</v>
      </c>
    </row>
    <row r="863" spans="6:8" x14ac:dyDescent="0.25">
      <c r="F863" t="s">
        <v>108</v>
      </c>
      <c r="H863" t="s">
        <v>108</v>
      </c>
    </row>
    <row r="864" spans="6:8" x14ac:dyDescent="0.25">
      <c r="F864" t="s">
        <v>108</v>
      </c>
      <c r="H864" t="s">
        <v>108</v>
      </c>
    </row>
    <row r="865" spans="6:8" x14ac:dyDescent="0.25">
      <c r="F865" t="s">
        <v>108</v>
      </c>
      <c r="H865" t="s">
        <v>108</v>
      </c>
    </row>
    <row r="866" spans="6:8" x14ac:dyDescent="0.25">
      <c r="F866" t="s">
        <v>108</v>
      </c>
      <c r="H866" t="s">
        <v>108</v>
      </c>
    </row>
    <row r="867" spans="6:8" x14ac:dyDescent="0.25">
      <c r="F867" t="s">
        <v>108</v>
      </c>
      <c r="H867" t="s">
        <v>108</v>
      </c>
    </row>
    <row r="868" spans="6:8" x14ac:dyDescent="0.25">
      <c r="F868" t="s">
        <v>108</v>
      </c>
      <c r="H868" t="s">
        <v>108</v>
      </c>
    </row>
    <row r="869" spans="6:8" x14ac:dyDescent="0.25">
      <c r="F869" t="s">
        <v>108</v>
      </c>
      <c r="H869" t="s">
        <v>108</v>
      </c>
    </row>
    <row r="870" spans="6:8" x14ac:dyDescent="0.25">
      <c r="F870" t="s">
        <v>108</v>
      </c>
      <c r="H870" t="s">
        <v>108</v>
      </c>
    </row>
    <row r="871" spans="6:8" x14ac:dyDescent="0.25">
      <c r="F871" t="s">
        <v>108</v>
      </c>
      <c r="H871" t="s">
        <v>108</v>
      </c>
    </row>
    <row r="872" spans="6:8" x14ac:dyDescent="0.25">
      <c r="F872" t="s">
        <v>108</v>
      </c>
      <c r="H872" t="s">
        <v>108</v>
      </c>
    </row>
    <row r="873" spans="6:8" x14ac:dyDescent="0.25">
      <c r="F873" t="s">
        <v>108</v>
      </c>
      <c r="H873" t="s">
        <v>108</v>
      </c>
    </row>
    <row r="874" spans="6:8" x14ac:dyDescent="0.25">
      <c r="F874" t="s">
        <v>108</v>
      </c>
      <c r="H874" t="s">
        <v>108</v>
      </c>
    </row>
    <row r="875" spans="6:8" x14ac:dyDescent="0.25">
      <c r="F875" t="s">
        <v>108</v>
      </c>
      <c r="H875" t="s">
        <v>108</v>
      </c>
    </row>
    <row r="876" spans="6:8" x14ac:dyDescent="0.25">
      <c r="F876" t="s">
        <v>108</v>
      </c>
      <c r="H876" t="s">
        <v>108</v>
      </c>
    </row>
    <row r="877" spans="6:8" x14ac:dyDescent="0.25">
      <c r="F877" t="s">
        <v>108</v>
      </c>
      <c r="H877" t="s">
        <v>108</v>
      </c>
    </row>
    <row r="878" spans="6:8" x14ac:dyDescent="0.25">
      <c r="F878" t="s">
        <v>108</v>
      </c>
      <c r="H878" t="s">
        <v>108</v>
      </c>
    </row>
    <row r="879" spans="6:8" x14ac:dyDescent="0.25">
      <c r="F879" t="s">
        <v>108</v>
      </c>
      <c r="H879" t="s">
        <v>108</v>
      </c>
    </row>
    <row r="880" spans="6:8" x14ac:dyDescent="0.25">
      <c r="F880" t="s">
        <v>108</v>
      </c>
      <c r="H880" t="s">
        <v>108</v>
      </c>
    </row>
    <row r="881" spans="6:8" x14ac:dyDescent="0.25">
      <c r="F881" t="s">
        <v>108</v>
      </c>
      <c r="H881" t="s">
        <v>108</v>
      </c>
    </row>
    <row r="882" spans="6:8" x14ac:dyDescent="0.25">
      <c r="F882" t="s">
        <v>108</v>
      </c>
      <c r="H882" t="s">
        <v>108</v>
      </c>
    </row>
    <row r="883" spans="6:8" x14ac:dyDescent="0.25">
      <c r="F883" t="s">
        <v>108</v>
      </c>
      <c r="H883" t="s">
        <v>108</v>
      </c>
    </row>
    <row r="884" spans="6:8" x14ac:dyDescent="0.25">
      <c r="F884" t="s">
        <v>108</v>
      </c>
      <c r="H884" t="s">
        <v>108</v>
      </c>
    </row>
    <row r="885" spans="6:8" x14ac:dyDescent="0.25">
      <c r="F885" t="s">
        <v>108</v>
      </c>
      <c r="H885" t="s">
        <v>108</v>
      </c>
    </row>
    <row r="886" spans="6:8" x14ac:dyDescent="0.25">
      <c r="F886" t="s">
        <v>108</v>
      </c>
      <c r="H886" t="s">
        <v>108</v>
      </c>
    </row>
    <row r="887" spans="6:8" x14ac:dyDescent="0.25">
      <c r="F887" t="s">
        <v>108</v>
      </c>
      <c r="H887" t="s">
        <v>108</v>
      </c>
    </row>
    <row r="888" spans="6:8" x14ac:dyDescent="0.25">
      <c r="F888" t="s">
        <v>108</v>
      </c>
      <c r="H888" t="s">
        <v>108</v>
      </c>
    </row>
    <row r="889" spans="6:8" x14ac:dyDescent="0.25">
      <c r="F889" t="s">
        <v>108</v>
      </c>
      <c r="H889" t="s">
        <v>108</v>
      </c>
    </row>
    <row r="890" spans="6:8" x14ac:dyDescent="0.25">
      <c r="F890" t="s">
        <v>108</v>
      </c>
      <c r="H890" t="s">
        <v>108</v>
      </c>
    </row>
    <row r="891" spans="6:8" x14ac:dyDescent="0.25">
      <c r="F891" t="s">
        <v>108</v>
      </c>
      <c r="H891" t="s">
        <v>108</v>
      </c>
    </row>
    <row r="892" spans="6:8" x14ac:dyDescent="0.25">
      <c r="F892" t="s">
        <v>108</v>
      </c>
      <c r="H892" t="s">
        <v>108</v>
      </c>
    </row>
    <row r="893" spans="6:8" x14ac:dyDescent="0.25">
      <c r="F893" t="s">
        <v>108</v>
      </c>
      <c r="H893" t="s">
        <v>108</v>
      </c>
    </row>
    <row r="894" spans="6:8" x14ac:dyDescent="0.25">
      <c r="F894" t="s">
        <v>108</v>
      </c>
      <c r="H894" t="s">
        <v>108</v>
      </c>
    </row>
    <row r="895" spans="6:8" x14ac:dyDescent="0.25">
      <c r="F895" t="s">
        <v>108</v>
      </c>
      <c r="H895" t="s">
        <v>108</v>
      </c>
    </row>
    <row r="896" spans="6:8" x14ac:dyDescent="0.25">
      <c r="F896" t="s">
        <v>108</v>
      </c>
      <c r="H896" t="s">
        <v>108</v>
      </c>
    </row>
    <row r="897" spans="6:8" x14ac:dyDescent="0.25">
      <c r="F897" t="s">
        <v>108</v>
      </c>
      <c r="H897" t="s">
        <v>108</v>
      </c>
    </row>
    <row r="898" spans="6:8" x14ac:dyDescent="0.25">
      <c r="F898" t="s">
        <v>108</v>
      </c>
      <c r="H898" t="s">
        <v>108</v>
      </c>
    </row>
    <row r="899" spans="6:8" x14ac:dyDescent="0.25">
      <c r="F899" t="s">
        <v>108</v>
      </c>
      <c r="H899" t="s">
        <v>108</v>
      </c>
    </row>
    <row r="900" spans="6:8" x14ac:dyDescent="0.25">
      <c r="F900" t="s">
        <v>108</v>
      </c>
      <c r="H900" t="s">
        <v>108</v>
      </c>
    </row>
    <row r="901" spans="6:8" x14ac:dyDescent="0.25">
      <c r="F901" t="s">
        <v>108</v>
      </c>
      <c r="H901" t="s">
        <v>108</v>
      </c>
    </row>
    <row r="902" spans="6:8" x14ac:dyDescent="0.25">
      <c r="F902" t="s">
        <v>108</v>
      </c>
      <c r="H902" t="s">
        <v>108</v>
      </c>
    </row>
    <row r="903" spans="6:8" x14ac:dyDescent="0.25">
      <c r="F903" t="s">
        <v>108</v>
      </c>
      <c r="H903" t="s">
        <v>108</v>
      </c>
    </row>
    <row r="904" spans="6:8" x14ac:dyDescent="0.25">
      <c r="F904" t="s">
        <v>108</v>
      </c>
      <c r="H904" t="s">
        <v>108</v>
      </c>
    </row>
    <row r="905" spans="6:8" x14ac:dyDescent="0.25">
      <c r="F905" t="s">
        <v>108</v>
      </c>
      <c r="H905" t="s">
        <v>108</v>
      </c>
    </row>
    <row r="906" spans="6:8" x14ac:dyDescent="0.25">
      <c r="F906" t="s">
        <v>108</v>
      </c>
      <c r="H906" t="s">
        <v>108</v>
      </c>
    </row>
    <row r="907" spans="6:8" x14ac:dyDescent="0.25">
      <c r="F907" t="s">
        <v>108</v>
      </c>
      <c r="H907" t="s">
        <v>108</v>
      </c>
    </row>
    <row r="908" spans="6:8" x14ac:dyDescent="0.25">
      <c r="F908" t="s">
        <v>108</v>
      </c>
      <c r="H908" t="s">
        <v>108</v>
      </c>
    </row>
    <row r="909" spans="6:8" x14ac:dyDescent="0.25">
      <c r="F909" t="s">
        <v>108</v>
      </c>
      <c r="H909" t="s">
        <v>108</v>
      </c>
    </row>
    <row r="910" spans="6:8" x14ac:dyDescent="0.25">
      <c r="F910" t="s">
        <v>108</v>
      </c>
      <c r="H910" t="s">
        <v>108</v>
      </c>
    </row>
    <row r="911" spans="6:8" x14ac:dyDescent="0.25">
      <c r="F911" t="s">
        <v>108</v>
      </c>
      <c r="H911" t="s">
        <v>108</v>
      </c>
    </row>
    <row r="912" spans="6:8" x14ac:dyDescent="0.25">
      <c r="F912" t="s">
        <v>108</v>
      </c>
      <c r="H912" t="s">
        <v>108</v>
      </c>
    </row>
    <row r="913" spans="6:8" x14ac:dyDescent="0.25">
      <c r="F913" t="s">
        <v>108</v>
      </c>
      <c r="H913" t="s">
        <v>108</v>
      </c>
    </row>
    <row r="914" spans="6:8" x14ac:dyDescent="0.25">
      <c r="F914" t="s">
        <v>108</v>
      </c>
      <c r="H914" t="s">
        <v>108</v>
      </c>
    </row>
    <row r="915" spans="6:8" x14ac:dyDescent="0.25">
      <c r="F915" t="s">
        <v>108</v>
      </c>
      <c r="H915" t="s">
        <v>108</v>
      </c>
    </row>
    <row r="916" spans="6:8" x14ac:dyDescent="0.25">
      <c r="F916" t="s">
        <v>108</v>
      </c>
      <c r="H916" t="s">
        <v>108</v>
      </c>
    </row>
    <row r="917" spans="6:8" x14ac:dyDescent="0.25">
      <c r="F917" t="s">
        <v>108</v>
      </c>
      <c r="H917" t="s">
        <v>108</v>
      </c>
    </row>
    <row r="918" spans="6:8" x14ac:dyDescent="0.25">
      <c r="F918" t="s">
        <v>108</v>
      </c>
      <c r="H918" t="s">
        <v>108</v>
      </c>
    </row>
    <row r="919" spans="6:8" x14ac:dyDescent="0.25">
      <c r="F919" t="s">
        <v>108</v>
      </c>
      <c r="H919" t="s">
        <v>108</v>
      </c>
    </row>
    <row r="920" spans="6:8" x14ac:dyDescent="0.25">
      <c r="F920" t="s">
        <v>108</v>
      </c>
      <c r="H920" t="s">
        <v>108</v>
      </c>
    </row>
    <row r="921" spans="6:8" x14ac:dyDescent="0.25">
      <c r="F921" t="s">
        <v>108</v>
      </c>
      <c r="H921" t="s">
        <v>108</v>
      </c>
    </row>
    <row r="922" spans="6:8" x14ac:dyDescent="0.25">
      <c r="F922" t="s">
        <v>108</v>
      </c>
      <c r="H922" t="s">
        <v>108</v>
      </c>
    </row>
    <row r="923" spans="6:8" x14ac:dyDescent="0.25">
      <c r="F923" t="s">
        <v>108</v>
      </c>
      <c r="H923" t="s">
        <v>108</v>
      </c>
    </row>
    <row r="924" spans="6:8" x14ac:dyDescent="0.25">
      <c r="F924" t="s">
        <v>108</v>
      </c>
      <c r="H924" t="s">
        <v>108</v>
      </c>
    </row>
    <row r="925" spans="6:8" x14ac:dyDescent="0.25">
      <c r="F925" t="s">
        <v>108</v>
      </c>
      <c r="H925" t="s">
        <v>108</v>
      </c>
    </row>
    <row r="926" spans="6:8" x14ac:dyDescent="0.25">
      <c r="F926" t="s">
        <v>108</v>
      </c>
      <c r="H926" t="s">
        <v>108</v>
      </c>
    </row>
    <row r="927" spans="6:8" x14ac:dyDescent="0.25">
      <c r="F927" t="s">
        <v>108</v>
      </c>
      <c r="H927" t="s">
        <v>108</v>
      </c>
    </row>
    <row r="928" spans="6:8" x14ac:dyDescent="0.25">
      <c r="F928" t="s">
        <v>108</v>
      </c>
      <c r="H928" t="s">
        <v>108</v>
      </c>
    </row>
    <row r="929" spans="6:8" x14ac:dyDescent="0.25">
      <c r="F929" t="s">
        <v>108</v>
      </c>
      <c r="H929" t="s">
        <v>108</v>
      </c>
    </row>
    <row r="930" spans="6:8" x14ac:dyDescent="0.25">
      <c r="F930" t="s">
        <v>108</v>
      </c>
      <c r="H930" t="s">
        <v>108</v>
      </c>
    </row>
    <row r="931" spans="6:8" x14ac:dyDescent="0.25">
      <c r="F931" t="s">
        <v>108</v>
      </c>
      <c r="H931" t="s">
        <v>108</v>
      </c>
    </row>
    <row r="932" spans="6:8" x14ac:dyDescent="0.25">
      <c r="F932" t="s">
        <v>108</v>
      </c>
      <c r="H932" t="s">
        <v>108</v>
      </c>
    </row>
    <row r="933" spans="6:8" x14ac:dyDescent="0.25">
      <c r="F933" t="s">
        <v>108</v>
      </c>
      <c r="H933" t="s">
        <v>108</v>
      </c>
    </row>
    <row r="934" spans="6:8" x14ac:dyDescent="0.25">
      <c r="F934" t="s">
        <v>108</v>
      </c>
      <c r="H934" t="s">
        <v>108</v>
      </c>
    </row>
    <row r="935" spans="6:8" x14ac:dyDescent="0.25">
      <c r="F935" t="s">
        <v>108</v>
      </c>
      <c r="H935" t="s">
        <v>108</v>
      </c>
    </row>
    <row r="936" spans="6:8" x14ac:dyDescent="0.25">
      <c r="F936" t="s">
        <v>108</v>
      </c>
      <c r="H936" t="s">
        <v>108</v>
      </c>
    </row>
    <row r="937" spans="6:8" x14ac:dyDescent="0.25">
      <c r="F937" t="s">
        <v>108</v>
      </c>
      <c r="H937" t="s">
        <v>108</v>
      </c>
    </row>
    <row r="938" spans="6:8" x14ac:dyDescent="0.25">
      <c r="F938" t="s">
        <v>108</v>
      </c>
      <c r="H938" t="s">
        <v>108</v>
      </c>
    </row>
    <row r="939" spans="6:8" x14ac:dyDescent="0.25">
      <c r="F939" t="s">
        <v>108</v>
      </c>
      <c r="H939" t="s">
        <v>108</v>
      </c>
    </row>
    <row r="940" spans="6:8" x14ac:dyDescent="0.25">
      <c r="F940" t="s">
        <v>108</v>
      </c>
      <c r="H940" t="s">
        <v>108</v>
      </c>
    </row>
    <row r="941" spans="6:8" x14ac:dyDescent="0.25">
      <c r="F941" t="s">
        <v>108</v>
      </c>
      <c r="H941" t="s">
        <v>108</v>
      </c>
    </row>
    <row r="942" spans="6:8" x14ac:dyDescent="0.25">
      <c r="F942" t="s">
        <v>108</v>
      </c>
      <c r="H942" t="s">
        <v>108</v>
      </c>
    </row>
    <row r="943" spans="6:8" x14ac:dyDescent="0.25">
      <c r="F943" t="s">
        <v>108</v>
      </c>
      <c r="H943" t="s">
        <v>108</v>
      </c>
    </row>
    <row r="944" spans="6:8" x14ac:dyDescent="0.25">
      <c r="F944" t="s">
        <v>108</v>
      </c>
      <c r="H944" t="s">
        <v>108</v>
      </c>
    </row>
    <row r="945" spans="6:8" x14ac:dyDescent="0.25">
      <c r="F945" t="s">
        <v>108</v>
      </c>
      <c r="H945" t="s">
        <v>108</v>
      </c>
    </row>
    <row r="946" spans="6:8" x14ac:dyDescent="0.25">
      <c r="F946" t="s">
        <v>108</v>
      </c>
      <c r="H946" t="s">
        <v>108</v>
      </c>
    </row>
    <row r="947" spans="6:8" x14ac:dyDescent="0.25">
      <c r="F947" t="s">
        <v>108</v>
      </c>
      <c r="H947" t="s">
        <v>108</v>
      </c>
    </row>
    <row r="948" spans="6:8" x14ac:dyDescent="0.25">
      <c r="F948" t="s">
        <v>108</v>
      </c>
      <c r="H948" t="s">
        <v>108</v>
      </c>
    </row>
    <row r="949" spans="6:8" x14ac:dyDescent="0.25">
      <c r="F949" t="s">
        <v>108</v>
      </c>
      <c r="H949" t="s">
        <v>108</v>
      </c>
    </row>
    <row r="950" spans="6:8" x14ac:dyDescent="0.25">
      <c r="F950" t="s">
        <v>108</v>
      </c>
      <c r="H950" t="s">
        <v>108</v>
      </c>
    </row>
    <row r="951" spans="6:8" x14ac:dyDescent="0.25">
      <c r="F951" t="s">
        <v>108</v>
      </c>
      <c r="H951" t="s">
        <v>108</v>
      </c>
    </row>
    <row r="952" spans="6:8" x14ac:dyDescent="0.25">
      <c r="F952" t="s">
        <v>108</v>
      </c>
      <c r="H952" t="s">
        <v>108</v>
      </c>
    </row>
    <row r="953" spans="6:8" x14ac:dyDescent="0.25">
      <c r="F953" t="s">
        <v>108</v>
      </c>
      <c r="H953" t="s">
        <v>108</v>
      </c>
    </row>
    <row r="954" spans="6:8" x14ac:dyDescent="0.25">
      <c r="F954" t="s">
        <v>108</v>
      </c>
      <c r="H954" t="s">
        <v>108</v>
      </c>
    </row>
    <row r="955" spans="6:8" x14ac:dyDescent="0.25">
      <c r="F955" t="s">
        <v>108</v>
      </c>
      <c r="H955" t="s">
        <v>108</v>
      </c>
    </row>
    <row r="956" spans="6:8" x14ac:dyDescent="0.25">
      <c r="F956" t="s">
        <v>108</v>
      </c>
      <c r="H956" t="s">
        <v>108</v>
      </c>
    </row>
    <row r="957" spans="6:8" x14ac:dyDescent="0.25">
      <c r="F957" t="s">
        <v>108</v>
      </c>
      <c r="H957" t="s">
        <v>108</v>
      </c>
    </row>
    <row r="958" spans="6:8" x14ac:dyDescent="0.25">
      <c r="F958" t="s">
        <v>108</v>
      </c>
      <c r="H958" t="s">
        <v>108</v>
      </c>
    </row>
    <row r="959" spans="6:8" x14ac:dyDescent="0.25">
      <c r="F959" t="s">
        <v>108</v>
      </c>
      <c r="H959" t="s">
        <v>108</v>
      </c>
    </row>
    <row r="960" spans="6:8" x14ac:dyDescent="0.25">
      <c r="F960" t="s">
        <v>108</v>
      </c>
      <c r="H960" t="s">
        <v>108</v>
      </c>
    </row>
    <row r="961" spans="6:8" x14ac:dyDescent="0.25">
      <c r="F961" t="s">
        <v>108</v>
      </c>
      <c r="H961" t="s">
        <v>108</v>
      </c>
    </row>
    <row r="962" spans="6:8" x14ac:dyDescent="0.25">
      <c r="F962" t="s">
        <v>108</v>
      </c>
      <c r="H962" t="s">
        <v>108</v>
      </c>
    </row>
    <row r="963" spans="6:8" x14ac:dyDescent="0.25">
      <c r="F963" t="s">
        <v>108</v>
      </c>
      <c r="H963" t="s">
        <v>108</v>
      </c>
    </row>
    <row r="964" spans="6:8" x14ac:dyDescent="0.25">
      <c r="F964" t="s">
        <v>108</v>
      </c>
      <c r="H964" t="s">
        <v>108</v>
      </c>
    </row>
    <row r="965" spans="6:8" x14ac:dyDescent="0.25">
      <c r="F965" t="s">
        <v>108</v>
      </c>
      <c r="H965" t="s">
        <v>108</v>
      </c>
    </row>
    <row r="966" spans="6:8" x14ac:dyDescent="0.25">
      <c r="F966" t="s">
        <v>108</v>
      </c>
      <c r="H966" t="s">
        <v>108</v>
      </c>
    </row>
    <row r="967" spans="6:8" x14ac:dyDescent="0.25">
      <c r="F967" t="s">
        <v>108</v>
      </c>
      <c r="H967" t="s">
        <v>108</v>
      </c>
    </row>
    <row r="968" spans="6:8" x14ac:dyDescent="0.25">
      <c r="F968" t="s">
        <v>108</v>
      </c>
      <c r="H968" t="s">
        <v>108</v>
      </c>
    </row>
    <row r="969" spans="6:8" x14ac:dyDescent="0.25">
      <c r="F969" t="s">
        <v>108</v>
      </c>
      <c r="H969" t="s">
        <v>108</v>
      </c>
    </row>
    <row r="970" spans="6:8" x14ac:dyDescent="0.25">
      <c r="F970" t="s">
        <v>108</v>
      </c>
      <c r="H970" t="s">
        <v>108</v>
      </c>
    </row>
    <row r="971" spans="6:8" x14ac:dyDescent="0.25">
      <c r="F971" t="s">
        <v>108</v>
      </c>
      <c r="H971" t="s">
        <v>108</v>
      </c>
    </row>
    <row r="972" spans="6:8" x14ac:dyDescent="0.25">
      <c r="F972" t="s">
        <v>108</v>
      </c>
      <c r="H972" t="s">
        <v>108</v>
      </c>
    </row>
    <row r="973" spans="6:8" x14ac:dyDescent="0.25">
      <c r="F973" t="s">
        <v>108</v>
      </c>
      <c r="H973" t="s">
        <v>108</v>
      </c>
    </row>
    <row r="974" spans="6:8" x14ac:dyDescent="0.25">
      <c r="F974" t="s">
        <v>108</v>
      </c>
      <c r="H974" t="s">
        <v>108</v>
      </c>
    </row>
    <row r="975" spans="6:8" x14ac:dyDescent="0.25">
      <c r="F975" t="s">
        <v>108</v>
      </c>
      <c r="H975" t="s">
        <v>108</v>
      </c>
    </row>
    <row r="976" spans="6:8" x14ac:dyDescent="0.25">
      <c r="F976" t="s">
        <v>108</v>
      </c>
      <c r="H976" t="s">
        <v>108</v>
      </c>
    </row>
    <row r="977" spans="6:8" x14ac:dyDescent="0.25">
      <c r="F977" t="s">
        <v>108</v>
      </c>
      <c r="H977" t="s">
        <v>108</v>
      </c>
    </row>
    <row r="978" spans="6:8" x14ac:dyDescent="0.25">
      <c r="F978" t="s">
        <v>108</v>
      </c>
      <c r="H978" t="s">
        <v>108</v>
      </c>
    </row>
    <row r="979" spans="6:8" x14ac:dyDescent="0.25">
      <c r="F979" t="s">
        <v>108</v>
      </c>
      <c r="H979" t="s">
        <v>108</v>
      </c>
    </row>
    <row r="980" spans="6:8" x14ac:dyDescent="0.25">
      <c r="F980" t="s">
        <v>108</v>
      </c>
      <c r="H980" t="s">
        <v>108</v>
      </c>
    </row>
    <row r="981" spans="6:8" x14ac:dyDescent="0.25">
      <c r="F981" t="s">
        <v>108</v>
      </c>
      <c r="H981" t="s">
        <v>108</v>
      </c>
    </row>
    <row r="982" spans="6:8" x14ac:dyDescent="0.25">
      <c r="F982" t="s">
        <v>108</v>
      </c>
      <c r="H982" t="s">
        <v>108</v>
      </c>
    </row>
    <row r="983" spans="6:8" x14ac:dyDescent="0.25">
      <c r="F983" t="s">
        <v>108</v>
      </c>
      <c r="H983" t="s">
        <v>108</v>
      </c>
    </row>
    <row r="984" spans="6:8" x14ac:dyDescent="0.25">
      <c r="F984" t="s">
        <v>108</v>
      </c>
      <c r="H984" t="s">
        <v>108</v>
      </c>
    </row>
    <row r="985" spans="6:8" x14ac:dyDescent="0.25">
      <c r="F985" t="s">
        <v>108</v>
      </c>
      <c r="H985" t="s">
        <v>108</v>
      </c>
    </row>
    <row r="986" spans="6:8" x14ac:dyDescent="0.25">
      <c r="F986" t="s">
        <v>108</v>
      </c>
      <c r="H986" t="s">
        <v>108</v>
      </c>
    </row>
    <row r="987" spans="6:8" x14ac:dyDescent="0.25">
      <c r="F987" t="s">
        <v>108</v>
      </c>
      <c r="H987" t="s">
        <v>108</v>
      </c>
    </row>
    <row r="988" spans="6:8" x14ac:dyDescent="0.25">
      <c r="F988" t="s">
        <v>108</v>
      </c>
      <c r="H988" t="s">
        <v>108</v>
      </c>
    </row>
    <row r="989" spans="6:8" x14ac:dyDescent="0.25">
      <c r="F989" t="s">
        <v>108</v>
      </c>
      <c r="H989" t="s">
        <v>108</v>
      </c>
    </row>
    <row r="990" spans="6:8" x14ac:dyDescent="0.25">
      <c r="F990" t="s">
        <v>108</v>
      </c>
      <c r="H990" t="s">
        <v>108</v>
      </c>
    </row>
    <row r="991" spans="6:8" x14ac:dyDescent="0.25">
      <c r="F991" t="s">
        <v>108</v>
      </c>
      <c r="H991" t="s">
        <v>108</v>
      </c>
    </row>
    <row r="992" spans="6:8" x14ac:dyDescent="0.25">
      <c r="F992" t="s">
        <v>108</v>
      </c>
      <c r="H992" t="s">
        <v>108</v>
      </c>
    </row>
    <row r="993" spans="6:8" x14ac:dyDescent="0.25">
      <c r="F993" t="s">
        <v>108</v>
      </c>
      <c r="H993" t="s">
        <v>108</v>
      </c>
    </row>
    <row r="994" spans="6:8" x14ac:dyDescent="0.25">
      <c r="F994" t="s">
        <v>108</v>
      </c>
      <c r="H994" t="s">
        <v>108</v>
      </c>
    </row>
    <row r="995" spans="6:8" x14ac:dyDescent="0.25">
      <c r="F995" t="s">
        <v>108</v>
      </c>
      <c r="H995" t="s">
        <v>108</v>
      </c>
    </row>
    <row r="996" spans="6:8" x14ac:dyDescent="0.25">
      <c r="F996" t="s">
        <v>108</v>
      </c>
      <c r="H996" t="s">
        <v>108</v>
      </c>
    </row>
    <row r="997" spans="6:8" x14ac:dyDescent="0.25">
      <c r="F997" t="s">
        <v>108</v>
      </c>
      <c r="H997" t="s">
        <v>108</v>
      </c>
    </row>
    <row r="998" spans="6:8" x14ac:dyDescent="0.25">
      <c r="F998" t="s">
        <v>108</v>
      </c>
      <c r="H998" t="s">
        <v>108</v>
      </c>
    </row>
    <row r="999" spans="6:8" x14ac:dyDescent="0.25">
      <c r="F999" t="s">
        <v>108</v>
      </c>
      <c r="H999" t="s">
        <v>108</v>
      </c>
    </row>
    <row r="1000" spans="6:8" x14ac:dyDescent="0.25">
      <c r="F1000" t="s">
        <v>108</v>
      </c>
      <c r="H1000" t="s">
        <v>108</v>
      </c>
    </row>
    <row r="1001" spans="6:8" x14ac:dyDescent="0.25">
      <c r="F1001" t="s">
        <v>108</v>
      </c>
      <c r="H1001" t="s">
        <v>108</v>
      </c>
    </row>
    <row r="1002" spans="6:8" x14ac:dyDescent="0.25">
      <c r="F1002" t="s">
        <v>108</v>
      </c>
      <c r="H1002" t="s">
        <v>108</v>
      </c>
    </row>
    <row r="1003" spans="6:8" x14ac:dyDescent="0.25">
      <c r="F1003" t="s">
        <v>108</v>
      </c>
      <c r="H1003" t="s">
        <v>108</v>
      </c>
    </row>
    <row r="1004" spans="6:8" x14ac:dyDescent="0.25">
      <c r="F1004" t="s">
        <v>108</v>
      </c>
      <c r="H1004" t="s">
        <v>108</v>
      </c>
    </row>
    <row r="1005" spans="6:8" x14ac:dyDescent="0.25">
      <c r="F1005" t="s">
        <v>108</v>
      </c>
      <c r="H1005" t="s">
        <v>108</v>
      </c>
    </row>
    <row r="1006" spans="6:8" x14ac:dyDescent="0.25">
      <c r="F1006" t="s">
        <v>108</v>
      </c>
      <c r="H1006" t="s">
        <v>108</v>
      </c>
    </row>
    <row r="1007" spans="6:8" x14ac:dyDescent="0.25">
      <c r="F1007" t="s">
        <v>108</v>
      </c>
      <c r="H1007" t="s">
        <v>108</v>
      </c>
    </row>
    <row r="1008" spans="6:8" x14ac:dyDescent="0.25">
      <c r="F1008" t="s">
        <v>108</v>
      </c>
      <c r="H1008" t="s">
        <v>108</v>
      </c>
    </row>
    <row r="1009" spans="6:8" x14ac:dyDescent="0.25">
      <c r="F1009" t="s">
        <v>108</v>
      </c>
      <c r="H1009" t="s">
        <v>108</v>
      </c>
    </row>
    <row r="1010" spans="6:8" x14ac:dyDescent="0.25">
      <c r="F1010" t="s">
        <v>108</v>
      </c>
      <c r="H1010" t="s">
        <v>108</v>
      </c>
    </row>
    <row r="1011" spans="6:8" x14ac:dyDescent="0.25">
      <c r="F1011" t="s">
        <v>108</v>
      </c>
      <c r="H1011" t="s">
        <v>108</v>
      </c>
    </row>
    <row r="1012" spans="6:8" x14ac:dyDescent="0.25">
      <c r="F1012" t="s">
        <v>108</v>
      </c>
      <c r="H1012" t="s">
        <v>108</v>
      </c>
    </row>
    <row r="1013" spans="6:8" x14ac:dyDescent="0.25">
      <c r="F1013" t="s">
        <v>108</v>
      </c>
      <c r="H1013" t="s">
        <v>108</v>
      </c>
    </row>
    <row r="1014" spans="6:8" x14ac:dyDescent="0.25">
      <c r="F1014" t="s">
        <v>108</v>
      </c>
      <c r="H1014" t="s">
        <v>108</v>
      </c>
    </row>
    <row r="1015" spans="6:8" x14ac:dyDescent="0.25">
      <c r="F1015" t="s">
        <v>108</v>
      </c>
      <c r="H1015" t="s">
        <v>108</v>
      </c>
    </row>
    <row r="1016" spans="6:8" x14ac:dyDescent="0.25">
      <c r="F1016" t="s">
        <v>108</v>
      </c>
      <c r="H1016" t="s">
        <v>108</v>
      </c>
    </row>
    <row r="1017" spans="6:8" x14ac:dyDescent="0.25">
      <c r="F1017" t="s">
        <v>108</v>
      </c>
      <c r="H1017" t="s">
        <v>108</v>
      </c>
    </row>
    <row r="1018" spans="6:8" x14ac:dyDescent="0.25">
      <c r="F1018" t="s">
        <v>108</v>
      </c>
      <c r="H1018" t="s">
        <v>108</v>
      </c>
    </row>
    <row r="1019" spans="6:8" x14ac:dyDescent="0.25">
      <c r="F1019" t="s">
        <v>108</v>
      </c>
      <c r="H1019" t="s">
        <v>108</v>
      </c>
    </row>
    <row r="1020" spans="6:8" x14ac:dyDescent="0.25">
      <c r="F1020" t="s">
        <v>108</v>
      </c>
      <c r="H1020" t="s">
        <v>108</v>
      </c>
    </row>
    <row r="1021" spans="6:8" x14ac:dyDescent="0.25">
      <c r="F1021" t="s">
        <v>108</v>
      </c>
      <c r="H1021" t="s">
        <v>108</v>
      </c>
    </row>
    <row r="1022" spans="6:8" x14ac:dyDescent="0.25">
      <c r="F1022" t="s">
        <v>108</v>
      </c>
      <c r="H1022" t="s">
        <v>108</v>
      </c>
    </row>
    <row r="1023" spans="6:8" x14ac:dyDescent="0.25">
      <c r="F1023" t="s">
        <v>108</v>
      </c>
      <c r="H1023" t="s">
        <v>108</v>
      </c>
    </row>
    <row r="1024" spans="6:8" x14ac:dyDescent="0.25">
      <c r="F1024" t="s">
        <v>108</v>
      </c>
      <c r="H1024" t="s">
        <v>108</v>
      </c>
    </row>
    <row r="1025" spans="6:8" x14ac:dyDescent="0.25">
      <c r="F1025" t="s">
        <v>108</v>
      </c>
      <c r="H1025" t="s">
        <v>108</v>
      </c>
    </row>
    <row r="1026" spans="6:8" x14ac:dyDescent="0.25">
      <c r="F1026" t="s">
        <v>108</v>
      </c>
      <c r="H1026" t="s">
        <v>108</v>
      </c>
    </row>
    <row r="1027" spans="6:8" x14ac:dyDescent="0.25">
      <c r="F1027" t="s">
        <v>108</v>
      </c>
      <c r="H1027" t="s">
        <v>108</v>
      </c>
    </row>
    <row r="1028" spans="6:8" x14ac:dyDescent="0.25">
      <c r="F1028" t="s">
        <v>108</v>
      </c>
      <c r="H1028" t="s">
        <v>108</v>
      </c>
    </row>
    <row r="1029" spans="6:8" x14ac:dyDescent="0.25">
      <c r="F1029" t="s">
        <v>108</v>
      </c>
      <c r="H1029" t="s">
        <v>108</v>
      </c>
    </row>
    <row r="1030" spans="6:8" x14ac:dyDescent="0.25">
      <c r="F1030" t="s">
        <v>108</v>
      </c>
      <c r="H1030" t="s">
        <v>108</v>
      </c>
    </row>
    <row r="1031" spans="6:8" x14ac:dyDescent="0.25">
      <c r="F1031" t="s">
        <v>108</v>
      </c>
      <c r="H1031" t="s">
        <v>108</v>
      </c>
    </row>
    <row r="1032" spans="6:8" x14ac:dyDescent="0.25">
      <c r="F1032" t="s">
        <v>108</v>
      </c>
      <c r="H1032" t="s">
        <v>108</v>
      </c>
    </row>
    <row r="1033" spans="6:8" x14ac:dyDescent="0.25">
      <c r="F1033" t="s">
        <v>108</v>
      </c>
      <c r="H1033" t="s">
        <v>108</v>
      </c>
    </row>
    <row r="1034" spans="6:8" x14ac:dyDescent="0.25">
      <c r="F1034" t="s">
        <v>108</v>
      </c>
      <c r="H1034" t="s">
        <v>108</v>
      </c>
    </row>
    <row r="1035" spans="6:8" x14ac:dyDescent="0.25">
      <c r="F1035" t="s">
        <v>108</v>
      </c>
      <c r="H1035" t="s">
        <v>108</v>
      </c>
    </row>
    <row r="1036" spans="6:8" x14ac:dyDescent="0.25">
      <c r="F1036" t="s">
        <v>108</v>
      </c>
      <c r="H1036" t="s">
        <v>108</v>
      </c>
    </row>
    <row r="1037" spans="6:8" x14ac:dyDescent="0.25">
      <c r="F1037" t="s">
        <v>108</v>
      </c>
      <c r="H1037" t="s">
        <v>108</v>
      </c>
    </row>
    <row r="1038" spans="6:8" x14ac:dyDescent="0.25">
      <c r="F1038" t="s">
        <v>108</v>
      </c>
      <c r="H1038" t="s">
        <v>108</v>
      </c>
    </row>
    <row r="1039" spans="6:8" x14ac:dyDescent="0.25">
      <c r="F1039" t="s">
        <v>108</v>
      </c>
      <c r="H1039" t="s">
        <v>108</v>
      </c>
    </row>
    <row r="1040" spans="6:8" x14ac:dyDescent="0.25">
      <c r="F1040" t="s">
        <v>108</v>
      </c>
      <c r="H1040" t="s">
        <v>108</v>
      </c>
    </row>
    <row r="1041" spans="6:8" x14ac:dyDescent="0.25">
      <c r="F1041" t="s">
        <v>108</v>
      </c>
      <c r="H1041" t="s">
        <v>108</v>
      </c>
    </row>
    <row r="1042" spans="6:8" x14ac:dyDescent="0.25">
      <c r="F1042" t="s">
        <v>108</v>
      </c>
      <c r="H1042" t="s">
        <v>108</v>
      </c>
    </row>
    <row r="1043" spans="6:8" x14ac:dyDescent="0.25">
      <c r="F1043" t="s">
        <v>108</v>
      </c>
      <c r="H1043" t="s">
        <v>108</v>
      </c>
    </row>
    <row r="1044" spans="6:8" x14ac:dyDescent="0.25">
      <c r="F1044" t="s">
        <v>108</v>
      </c>
      <c r="H1044" t="s">
        <v>108</v>
      </c>
    </row>
    <row r="1045" spans="6:8" x14ac:dyDescent="0.25">
      <c r="F1045" t="s">
        <v>108</v>
      </c>
      <c r="H1045" t="s">
        <v>108</v>
      </c>
    </row>
    <row r="1046" spans="6:8" x14ac:dyDescent="0.25">
      <c r="F1046" t="s">
        <v>108</v>
      </c>
      <c r="H1046" t="s">
        <v>108</v>
      </c>
    </row>
    <row r="1047" spans="6:8" x14ac:dyDescent="0.25">
      <c r="F1047" t="s">
        <v>108</v>
      </c>
      <c r="H1047" t="s">
        <v>108</v>
      </c>
    </row>
    <row r="1048" spans="6:8" x14ac:dyDescent="0.25">
      <c r="F1048" t="s">
        <v>108</v>
      </c>
      <c r="H1048" t="s">
        <v>108</v>
      </c>
    </row>
    <row r="1049" spans="6:8" x14ac:dyDescent="0.25">
      <c r="F1049" t="s">
        <v>108</v>
      </c>
      <c r="H1049" t="s">
        <v>108</v>
      </c>
    </row>
    <row r="1050" spans="6:8" x14ac:dyDescent="0.25">
      <c r="F1050" t="s">
        <v>108</v>
      </c>
      <c r="H1050" t="s">
        <v>108</v>
      </c>
    </row>
    <row r="1051" spans="6:8" x14ac:dyDescent="0.25">
      <c r="F1051" t="s">
        <v>108</v>
      </c>
      <c r="H1051" t="s">
        <v>108</v>
      </c>
    </row>
    <row r="1052" spans="6:8" x14ac:dyDescent="0.25">
      <c r="F1052" t="s">
        <v>108</v>
      </c>
      <c r="H1052" t="s">
        <v>108</v>
      </c>
    </row>
    <row r="1053" spans="6:8" x14ac:dyDescent="0.25">
      <c r="F1053" t="s">
        <v>108</v>
      </c>
      <c r="H1053" t="s">
        <v>108</v>
      </c>
    </row>
    <row r="1054" spans="6:8" x14ac:dyDescent="0.25">
      <c r="F1054" t="s">
        <v>108</v>
      </c>
      <c r="H1054" t="s">
        <v>108</v>
      </c>
    </row>
    <row r="1055" spans="6:8" x14ac:dyDescent="0.25">
      <c r="F1055" t="s">
        <v>108</v>
      </c>
      <c r="H1055" t="s">
        <v>108</v>
      </c>
    </row>
    <row r="1056" spans="6:8" x14ac:dyDescent="0.25">
      <c r="F1056" t="s">
        <v>108</v>
      </c>
      <c r="H1056" t="s">
        <v>108</v>
      </c>
    </row>
    <row r="1057" spans="6:8" x14ac:dyDescent="0.25">
      <c r="F1057" t="s">
        <v>108</v>
      </c>
      <c r="H1057" t="s">
        <v>108</v>
      </c>
    </row>
    <row r="1058" spans="6:8" x14ac:dyDescent="0.25">
      <c r="F1058" t="s">
        <v>108</v>
      </c>
      <c r="H1058" t="s">
        <v>108</v>
      </c>
    </row>
    <row r="1059" spans="6:8" x14ac:dyDescent="0.25">
      <c r="F1059" t="s">
        <v>108</v>
      </c>
      <c r="H1059" t="s">
        <v>108</v>
      </c>
    </row>
    <row r="1060" spans="6:8" x14ac:dyDescent="0.25">
      <c r="F1060" t="s">
        <v>108</v>
      </c>
      <c r="H1060" t="s">
        <v>108</v>
      </c>
    </row>
    <row r="1061" spans="6:8" x14ac:dyDescent="0.25">
      <c r="F1061" t="s">
        <v>108</v>
      </c>
      <c r="H1061" t="s">
        <v>108</v>
      </c>
    </row>
    <row r="1062" spans="6:8" x14ac:dyDescent="0.25">
      <c r="F1062" t="s">
        <v>108</v>
      </c>
      <c r="H1062" t="s">
        <v>108</v>
      </c>
    </row>
    <row r="1063" spans="6:8" x14ac:dyDescent="0.25">
      <c r="F1063" t="s">
        <v>108</v>
      </c>
      <c r="H1063" t="s">
        <v>108</v>
      </c>
    </row>
    <row r="1064" spans="6:8" x14ac:dyDescent="0.25">
      <c r="F1064" t="s">
        <v>108</v>
      </c>
      <c r="H1064" t="s">
        <v>108</v>
      </c>
    </row>
    <row r="1065" spans="6:8" x14ac:dyDescent="0.25">
      <c r="F1065" t="s">
        <v>108</v>
      </c>
      <c r="H1065" t="s">
        <v>108</v>
      </c>
    </row>
    <row r="1066" spans="6:8" x14ac:dyDescent="0.25">
      <c r="F1066" t="s">
        <v>108</v>
      </c>
      <c r="H1066" t="s">
        <v>108</v>
      </c>
    </row>
    <row r="1067" spans="6:8" x14ac:dyDescent="0.25">
      <c r="F1067" t="s">
        <v>108</v>
      </c>
      <c r="H1067" t="s">
        <v>108</v>
      </c>
    </row>
    <row r="1068" spans="6:8" x14ac:dyDescent="0.25">
      <c r="F1068" t="s">
        <v>108</v>
      </c>
      <c r="H1068" t="s">
        <v>108</v>
      </c>
    </row>
    <row r="1069" spans="6:8" x14ac:dyDescent="0.25">
      <c r="F1069" t="s">
        <v>108</v>
      </c>
      <c r="H1069" t="s">
        <v>108</v>
      </c>
    </row>
    <row r="1070" spans="6:8" x14ac:dyDescent="0.25">
      <c r="F1070" t="s">
        <v>108</v>
      </c>
      <c r="H1070" t="s">
        <v>108</v>
      </c>
    </row>
    <row r="1071" spans="6:8" x14ac:dyDescent="0.25">
      <c r="F1071" t="s">
        <v>108</v>
      </c>
      <c r="H1071" t="s">
        <v>108</v>
      </c>
    </row>
    <row r="1072" spans="6:8" x14ac:dyDescent="0.25">
      <c r="F1072" t="s">
        <v>108</v>
      </c>
      <c r="H1072" t="s">
        <v>108</v>
      </c>
    </row>
    <row r="1073" spans="6:8" x14ac:dyDescent="0.25">
      <c r="F1073" t="s">
        <v>108</v>
      </c>
      <c r="H1073" t="s">
        <v>108</v>
      </c>
    </row>
    <row r="1074" spans="6:8" x14ac:dyDescent="0.25">
      <c r="F1074" t="s">
        <v>108</v>
      </c>
      <c r="H1074" t="s">
        <v>108</v>
      </c>
    </row>
    <row r="1075" spans="6:8" x14ac:dyDescent="0.25">
      <c r="F1075" t="s">
        <v>108</v>
      </c>
      <c r="H1075" t="s">
        <v>108</v>
      </c>
    </row>
    <row r="1076" spans="6:8" x14ac:dyDescent="0.25">
      <c r="F1076" t="s">
        <v>108</v>
      </c>
      <c r="H1076" t="s">
        <v>108</v>
      </c>
    </row>
    <row r="1077" spans="6:8" x14ac:dyDescent="0.25">
      <c r="F1077" t="s">
        <v>108</v>
      </c>
      <c r="H1077" t="s">
        <v>108</v>
      </c>
    </row>
    <row r="1078" spans="6:8" x14ac:dyDescent="0.25">
      <c r="F1078" t="s">
        <v>108</v>
      </c>
      <c r="H1078" t="s">
        <v>108</v>
      </c>
    </row>
    <row r="1079" spans="6:8" x14ac:dyDescent="0.25">
      <c r="F1079" t="s">
        <v>108</v>
      </c>
      <c r="H1079" t="s">
        <v>108</v>
      </c>
    </row>
    <row r="1080" spans="6:8" x14ac:dyDescent="0.25">
      <c r="F1080" t="s">
        <v>108</v>
      </c>
      <c r="H1080" t="s">
        <v>108</v>
      </c>
    </row>
    <row r="1081" spans="6:8" x14ac:dyDescent="0.25">
      <c r="F1081" t="s">
        <v>108</v>
      </c>
      <c r="H1081" t="s">
        <v>108</v>
      </c>
    </row>
    <row r="1082" spans="6:8" x14ac:dyDescent="0.25">
      <c r="F1082" t="s">
        <v>108</v>
      </c>
      <c r="H1082" t="s">
        <v>108</v>
      </c>
    </row>
    <row r="1083" spans="6:8" x14ac:dyDescent="0.25">
      <c r="F1083" t="s">
        <v>108</v>
      </c>
      <c r="H1083" t="s">
        <v>108</v>
      </c>
    </row>
    <row r="1084" spans="6:8" x14ac:dyDescent="0.25">
      <c r="F1084" t="s">
        <v>108</v>
      </c>
      <c r="H1084" t="s">
        <v>108</v>
      </c>
    </row>
    <row r="1085" spans="6:8" x14ac:dyDescent="0.25">
      <c r="F1085" t="s">
        <v>108</v>
      </c>
      <c r="H1085" t="s">
        <v>108</v>
      </c>
    </row>
    <row r="1086" spans="6:8" x14ac:dyDescent="0.25">
      <c r="F1086" t="s">
        <v>108</v>
      </c>
      <c r="H1086" t="s">
        <v>108</v>
      </c>
    </row>
    <row r="1087" spans="6:8" x14ac:dyDescent="0.25">
      <c r="F1087" t="s">
        <v>108</v>
      </c>
      <c r="H1087" t="s">
        <v>108</v>
      </c>
    </row>
    <row r="1088" spans="6:8" x14ac:dyDescent="0.25">
      <c r="F1088" t="s">
        <v>108</v>
      </c>
      <c r="H1088" t="s">
        <v>108</v>
      </c>
    </row>
    <row r="1089" spans="6:8" x14ac:dyDescent="0.25">
      <c r="F1089" t="s">
        <v>108</v>
      </c>
      <c r="H1089" t="s">
        <v>108</v>
      </c>
    </row>
    <row r="1090" spans="6:8" x14ac:dyDescent="0.25">
      <c r="F1090" t="s">
        <v>108</v>
      </c>
      <c r="H1090" t="s">
        <v>108</v>
      </c>
    </row>
    <row r="1091" spans="6:8" x14ac:dyDescent="0.25">
      <c r="F1091" t="s">
        <v>108</v>
      </c>
      <c r="H1091" t="s">
        <v>108</v>
      </c>
    </row>
    <row r="1092" spans="6:8" x14ac:dyDescent="0.25">
      <c r="F1092" t="s">
        <v>108</v>
      </c>
      <c r="H1092" t="s">
        <v>108</v>
      </c>
    </row>
    <row r="1093" spans="6:8" x14ac:dyDescent="0.25">
      <c r="F1093" t="s">
        <v>108</v>
      </c>
      <c r="H1093" t="s">
        <v>108</v>
      </c>
    </row>
    <row r="1094" spans="6:8" x14ac:dyDescent="0.25">
      <c r="F1094" t="s">
        <v>108</v>
      </c>
      <c r="H1094" t="s">
        <v>108</v>
      </c>
    </row>
    <row r="1095" spans="6:8" x14ac:dyDescent="0.25">
      <c r="F1095" t="s">
        <v>108</v>
      </c>
      <c r="H1095" t="s">
        <v>108</v>
      </c>
    </row>
    <row r="1096" spans="6:8" x14ac:dyDescent="0.25">
      <c r="F1096" t="s">
        <v>108</v>
      </c>
      <c r="H1096" t="s">
        <v>108</v>
      </c>
    </row>
    <row r="1097" spans="6:8" x14ac:dyDescent="0.25">
      <c r="F1097" t="s">
        <v>108</v>
      </c>
      <c r="H1097" t="s">
        <v>108</v>
      </c>
    </row>
    <row r="1098" spans="6:8" x14ac:dyDescent="0.25">
      <c r="F1098" t="s">
        <v>108</v>
      </c>
      <c r="H1098" t="s">
        <v>108</v>
      </c>
    </row>
    <row r="1099" spans="6:8" x14ac:dyDescent="0.25">
      <c r="F1099" t="s">
        <v>108</v>
      </c>
      <c r="H1099" t="s">
        <v>108</v>
      </c>
    </row>
    <row r="1100" spans="6:8" x14ac:dyDescent="0.25">
      <c r="F1100" t="s">
        <v>108</v>
      </c>
      <c r="H1100" t="s">
        <v>108</v>
      </c>
    </row>
    <row r="1101" spans="6:8" x14ac:dyDescent="0.25">
      <c r="F1101" t="s">
        <v>108</v>
      </c>
      <c r="H1101" t="s">
        <v>108</v>
      </c>
    </row>
    <row r="1102" spans="6:8" x14ac:dyDescent="0.25">
      <c r="F1102" t="s">
        <v>108</v>
      </c>
      <c r="H1102" t="s">
        <v>108</v>
      </c>
    </row>
    <row r="1103" spans="6:8" x14ac:dyDescent="0.25">
      <c r="F1103" t="s">
        <v>108</v>
      </c>
      <c r="H1103" t="s">
        <v>108</v>
      </c>
    </row>
    <row r="1104" spans="6:8" x14ac:dyDescent="0.25">
      <c r="F1104" t="s">
        <v>108</v>
      </c>
      <c r="H1104" t="s">
        <v>108</v>
      </c>
    </row>
    <row r="1105" spans="6:8" x14ac:dyDescent="0.25">
      <c r="F1105" t="s">
        <v>108</v>
      </c>
      <c r="H1105" t="s">
        <v>108</v>
      </c>
    </row>
    <row r="1106" spans="6:8" x14ac:dyDescent="0.25">
      <c r="F1106" t="s">
        <v>108</v>
      </c>
      <c r="H1106" t="s">
        <v>108</v>
      </c>
    </row>
    <row r="1107" spans="6:8" x14ac:dyDescent="0.25">
      <c r="F1107" t="s">
        <v>108</v>
      </c>
      <c r="H1107" t="s">
        <v>108</v>
      </c>
    </row>
    <row r="1108" spans="6:8" x14ac:dyDescent="0.25">
      <c r="F1108" t="s">
        <v>108</v>
      </c>
      <c r="H1108" t="s">
        <v>108</v>
      </c>
    </row>
    <row r="1109" spans="6:8" x14ac:dyDescent="0.25">
      <c r="F1109" t="s">
        <v>108</v>
      </c>
      <c r="H1109" t="s">
        <v>108</v>
      </c>
    </row>
    <row r="1110" spans="6:8" x14ac:dyDescent="0.25">
      <c r="F1110" t="s">
        <v>108</v>
      </c>
      <c r="H1110" t="s">
        <v>108</v>
      </c>
    </row>
    <row r="1111" spans="6:8" x14ac:dyDescent="0.25">
      <c r="F1111" t="s">
        <v>108</v>
      </c>
      <c r="H1111" t="s">
        <v>108</v>
      </c>
    </row>
    <row r="1112" spans="6:8" x14ac:dyDescent="0.25">
      <c r="F1112" t="s">
        <v>108</v>
      </c>
      <c r="H1112" t="s">
        <v>108</v>
      </c>
    </row>
    <row r="1113" spans="6:8" x14ac:dyDescent="0.25">
      <c r="F1113" t="s">
        <v>108</v>
      </c>
      <c r="H1113" t="s">
        <v>108</v>
      </c>
    </row>
    <row r="1114" spans="6:8" x14ac:dyDescent="0.25">
      <c r="F1114" t="s">
        <v>108</v>
      </c>
      <c r="H1114" t="s">
        <v>108</v>
      </c>
    </row>
    <row r="1115" spans="6:8" x14ac:dyDescent="0.25">
      <c r="F1115" t="s">
        <v>108</v>
      </c>
      <c r="H1115" t="s">
        <v>108</v>
      </c>
    </row>
    <row r="1116" spans="6:8" x14ac:dyDescent="0.25">
      <c r="F1116" t="s">
        <v>108</v>
      </c>
      <c r="H1116" t="s">
        <v>108</v>
      </c>
    </row>
    <row r="1117" spans="6:8" x14ac:dyDescent="0.25">
      <c r="F1117" t="s">
        <v>108</v>
      </c>
      <c r="H1117" t="s">
        <v>108</v>
      </c>
    </row>
    <row r="1118" spans="6:8" x14ac:dyDescent="0.25">
      <c r="F1118" t="s">
        <v>108</v>
      </c>
      <c r="H1118" t="s">
        <v>108</v>
      </c>
    </row>
    <row r="1119" spans="6:8" x14ac:dyDescent="0.25">
      <c r="F1119" t="s">
        <v>108</v>
      </c>
      <c r="H1119" t="s">
        <v>108</v>
      </c>
    </row>
    <row r="1120" spans="6:8" x14ac:dyDescent="0.25">
      <c r="F1120" t="s">
        <v>108</v>
      </c>
      <c r="H1120" t="s">
        <v>108</v>
      </c>
    </row>
    <row r="1121" spans="6:8" x14ac:dyDescent="0.25">
      <c r="F1121" t="s">
        <v>108</v>
      </c>
      <c r="H1121" t="s">
        <v>108</v>
      </c>
    </row>
    <row r="1122" spans="6:8" x14ac:dyDescent="0.25">
      <c r="F1122" t="s">
        <v>108</v>
      </c>
      <c r="H1122" t="s">
        <v>108</v>
      </c>
    </row>
    <row r="1123" spans="6:8" x14ac:dyDescent="0.25">
      <c r="F1123" t="s">
        <v>108</v>
      </c>
      <c r="H1123" t="s">
        <v>108</v>
      </c>
    </row>
    <row r="1124" spans="6:8" x14ac:dyDescent="0.25">
      <c r="F1124" t="s">
        <v>108</v>
      </c>
      <c r="H1124" t="s">
        <v>108</v>
      </c>
    </row>
    <row r="1125" spans="6:8" x14ac:dyDescent="0.25">
      <c r="F1125" t="s">
        <v>108</v>
      </c>
      <c r="H1125" t="s">
        <v>108</v>
      </c>
    </row>
    <row r="1126" spans="6:8" x14ac:dyDescent="0.25">
      <c r="F1126" t="s">
        <v>108</v>
      </c>
      <c r="H1126" t="s">
        <v>108</v>
      </c>
    </row>
    <row r="1127" spans="6:8" x14ac:dyDescent="0.25">
      <c r="F1127" t="s">
        <v>108</v>
      </c>
      <c r="H1127" t="s">
        <v>108</v>
      </c>
    </row>
    <row r="1128" spans="6:8" x14ac:dyDescent="0.25">
      <c r="F1128" t="s">
        <v>108</v>
      </c>
      <c r="H1128" t="s">
        <v>108</v>
      </c>
    </row>
    <row r="1129" spans="6:8" x14ac:dyDescent="0.25">
      <c r="F1129" t="s">
        <v>108</v>
      </c>
      <c r="H1129" t="s">
        <v>108</v>
      </c>
    </row>
    <row r="1130" spans="6:8" x14ac:dyDescent="0.25">
      <c r="F1130" t="s">
        <v>108</v>
      </c>
      <c r="H1130" t="s">
        <v>108</v>
      </c>
    </row>
    <row r="1131" spans="6:8" x14ac:dyDescent="0.25">
      <c r="F1131" t="s">
        <v>108</v>
      </c>
      <c r="H1131" t="s">
        <v>108</v>
      </c>
    </row>
    <row r="1132" spans="6:8" x14ac:dyDescent="0.25">
      <c r="F1132" t="s">
        <v>108</v>
      </c>
      <c r="H1132" t="s">
        <v>108</v>
      </c>
    </row>
    <row r="1133" spans="6:8" x14ac:dyDescent="0.25">
      <c r="F1133" t="s">
        <v>108</v>
      </c>
      <c r="H1133" t="s">
        <v>108</v>
      </c>
    </row>
    <row r="1134" spans="6:8" x14ac:dyDescent="0.25">
      <c r="F1134" t="s">
        <v>108</v>
      </c>
      <c r="H1134" t="s">
        <v>108</v>
      </c>
    </row>
    <row r="1135" spans="6:8" x14ac:dyDescent="0.25">
      <c r="F1135" t="s">
        <v>108</v>
      </c>
      <c r="H1135" t="s">
        <v>108</v>
      </c>
    </row>
    <row r="1136" spans="6:8" x14ac:dyDescent="0.25">
      <c r="F1136" t="s">
        <v>108</v>
      </c>
      <c r="H1136" t="s">
        <v>108</v>
      </c>
    </row>
    <row r="1137" spans="6:8" x14ac:dyDescent="0.25">
      <c r="F1137" t="s">
        <v>108</v>
      </c>
      <c r="H1137" t="s">
        <v>108</v>
      </c>
    </row>
    <row r="1138" spans="6:8" x14ac:dyDescent="0.25">
      <c r="F1138" t="s">
        <v>108</v>
      </c>
      <c r="H1138" t="s">
        <v>108</v>
      </c>
    </row>
    <row r="1139" spans="6:8" x14ac:dyDescent="0.25">
      <c r="F1139" t="s">
        <v>108</v>
      </c>
      <c r="H1139" t="s">
        <v>108</v>
      </c>
    </row>
    <row r="1140" spans="6:8" x14ac:dyDescent="0.25">
      <c r="F1140" t="s">
        <v>108</v>
      </c>
      <c r="H1140" t="s">
        <v>108</v>
      </c>
    </row>
    <row r="1141" spans="6:8" x14ac:dyDescent="0.25">
      <c r="F1141" t="s">
        <v>108</v>
      </c>
      <c r="H1141" t="s">
        <v>108</v>
      </c>
    </row>
    <row r="1142" spans="6:8" x14ac:dyDescent="0.25">
      <c r="F1142" t="s">
        <v>108</v>
      </c>
      <c r="H1142" t="s">
        <v>108</v>
      </c>
    </row>
    <row r="1143" spans="6:8" x14ac:dyDescent="0.25">
      <c r="F1143" t="s">
        <v>108</v>
      </c>
      <c r="H1143" t="s">
        <v>108</v>
      </c>
    </row>
    <row r="1144" spans="6:8" x14ac:dyDescent="0.25">
      <c r="F1144" t="s">
        <v>108</v>
      </c>
      <c r="H1144" t="s">
        <v>108</v>
      </c>
    </row>
    <row r="1145" spans="6:8" x14ac:dyDescent="0.25">
      <c r="F1145" t="s">
        <v>108</v>
      </c>
      <c r="H1145" t="s">
        <v>108</v>
      </c>
    </row>
    <row r="1146" spans="6:8" x14ac:dyDescent="0.25">
      <c r="F1146" t="s">
        <v>108</v>
      </c>
      <c r="H1146" t="s">
        <v>108</v>
      </c>
    </row>
    <row r="1147" spans="6:8" x14ac:dyDescent="0.25">
      <c r="F1147" t="s">
        <v>108</v>
      </c>
      <c r="H1147" t="s">
        <v>108</v>
      </c>
    </row>
    <row r="1148" spans="6:8" x14ac:dyDescent="0.25">
      <c r="F1148" t="s">
        <v>108</v>
      </c>
      <c r="H1148" t="s">
        <v>108</v>
      </c>
    </row>
    <row r="1149" spans="6:8" x14ac:dyDescent="0.25">
      <c r="F1149" t="s">
        <v>108</v>
      </c>
      <c r="H1149" t="s">
        <v>108</v>
      </c>
    </row>
    <row r="1150" spans="6:8" x14ac:dyDescent="0.25">
      <c r="F1150" t="s">
        <v>108</v>
      </c>
      <c r="H1150" t="s">
        <v>108</v>
      </c>
    </row>
    <row r="1151" spans="6:8" x14ac:dyDescent="0.25">
      <c r="F1151" t="s">
        <v>108</v>
      </c>
      <c r="H1151" t="s">
        <v>108</v>
      </c>
    </row>
    <row r="1152" spans="6:8" x14ac:dyDescent="0.25">
      <c r="F1152" t="s">
        <v>108</v>
      </c>
      <c r="H1152" t="s">
        <v>108</v>
      </c>
    </row>
    <row r="1153" spans="6:8" x14ac:dyDescent="0.25">
      <c r="F1153" t="s">
        <v>108</v>
      </c>
      <c r="H1153" t="s">
        <v>108</v>
      </c>
    </row>
    <row r="1154" spans="6:8" x14ac:dyDescent="0.25">
      <c r="F1154" t="s">
        <v>108</v>
      </c>
      <c r="H1154" t="s">
        <v>108</v>
      </c>
    </row>
    <row r="1155" spans="6:8" x14ac:dyDescent="0.25">
      <c r="F1155" t="s">
        <v>108</v>
      </c>
      <c r="H1155" t="s">
        <v>108</v>
      </c>
    </row>
    <row r="1156" spans="6:8" x14ac:dyDescent="0.25">
      <c r="F1156" t="s">
        <v>108</v>
      </c>
      <c r="H1156" t="s">
        <v>108</v>
      </c>
    </row>
    <row r="1157" spans="6:8" x14ac:dyDescent="0.25">
      <c r="F1157" t="s">
        <v>108</v>
      </c>
      <c r="H1157" t="s">
        <v>108</v>
      </c>
    </row>
    <row r="1158" spans="6:8" x14ac:dyDescent="0.25">
      <c r="F1158" t="s">
        <v>108</v>
      </c>
      <c r="H1158" t="s">
        <v>108</v>
      </c>
    </row>
    <row r="1159" spans="6:8" x14ac:dyDescent="0.25">
      <c r="F1159" t="s">
        <v>108</v>
      </c>
      <c r="H1159" t="s">
        <v>108</v>
      </c>
    </row>
    <row r="1160" spans="6:8" x14ac:dyDescent="0.25">
      <c r="F1160" t="s">
        <v>108</v>
      </c>
      <c r="H1160" t="s">
        <v>108</v>
      </c>
    </row>
    <row r="1161" spans="6:8" x14ac:dyDescent="0.25">
      <c r="F1161" t="s">
        <v>108</v>
      </c>
      <c r="H1161" t="s">
        <v>108</v>
      </c>
    </row>
    <row r="1162" spans="6:8" x14ac:dyDescent="0.25">
      <c r="F1162" t="s">
        <v>108</v>
      </c>
      <c r="H1162" t="s">
        <v>108</v>
      </c>
    </row>
    <row r="1163" spans="6:8" x14ac:dyDescent="0.25">
      <c r="F1163" t="s">
        <v>108</v>
      </c>
      <c r="H1163" t="s">
        <v>108</v>
      </c>
    </row>
    <row r="1164" spans="6:8" x14ac:dyDescent="0.25">
      <c r="F1164" t="s">
        <v>108</v>
      </c>
      <c r="H1164" t="s">
        <v>108</v>
      </c>
    </row>
    <row r="1165" spans="6:8" x14ac:dyDescent="0.25">
      <c r="F1165" t="s">
        <v>108</v>
      </c>
      <c r="H1165" t="s">
        <v>108</v>
      </c>
    </row>
    <row r="1166" spans="6:8" x14ac:dyDescent="0.25">
      <c r="F1166" t="s">
        <v>108</v>
      </c>
      <c r="H1166" t="s">
        <v>108</v>
      </c>
    </row>
    <row r="1167" spans="6:8" x14ac:dyDescent="0.25">
      <c r="F1167" t="s">
        <v>108</v>
      </c>
      <c r="H1167" t="s">
        <v>108</v>
      </c>
    </row>
    <row r="1168" spans="6:8" x14ac:dyDescent="0.25">
      <c r="F1168" t="s">
        <v>108</v>
      </c>
      <c r="H1168" t="s">
        <v>108</v>
      </c>
    </row>
    <row r="1169" spans="6:8" x14ac:dyDescent="0.25">
      <c r="F1169" t="s">
        <v>108</v>
      </c>
      <c r="H1169" t="s">
        <v>108</v>
      </c>
    </row>
    <row r="1170" spans="6:8" x14ac:dyDescent="0.25">
      <c r="F1170" t="s">
        <v>108</v>
      </c>
      <c r="H1170" t="s">
        <v>108</v>
      </c>
    </row>
    <row r="1171" spans="6:8" x14ac:dyDescent="0.25">
      <c r="F1171" t="s">
        <v>108</v>
      </c>
      <c r="H1171" t="s">
        <v>108</v>
      </c>
    </row>
    <row r="1172" spans="6:8" x14ac:dyDescent="0.25">
      <c r="F1172" t="s">
        <v>108</v>
      </c>
      <c r="H1172" t="s">
        <v>108</v>
      </c>
    </row>
    <row r="1173" spans="6:8" x14ac:dyDescent="0.25">
      <c r="F1173" t="s">
        <v>108</v>
      </c>
      <c r="H1173" t="s">
        <v>108</v>
      </c>
    </row>
    <row r="1174" spans="6:8" x14ac:dyDescent="0.25">
      <c r="F1174" t="s">
        <v>108</v>
      </c>
      <c r="H1174" t="s">
        <v>108</v>
      </c>
    </row>
    <row r="1175" spans="6:8" x14ac:dyDescent="0.25">
      <c r="F1175" t="s">
        <v>108</v>
      </c>
      <c r="H1175" t="s">
        <v>108</v>
      </c>
    </row>
    <row r="1176" spans="6:8" x14ac:dyDescent="0.25">
      <c r="F1176" t="s">
        <v>108</v>
      </c>
      <c r="H1176" t="s">
        <v>108</v>
      </c>
    </row>
    <row r="1177" spans="6:8" x14ac:dyDescent="0.25">
      <c r="F1177" t="s">
        <v>108</v>
      </c>
      <c r="H1177" t="s">
        <v>108</v>
      </c>
    </row>
    <row r="1178" spans="6:8" x14ac:dyDescent="0.25">
      <c r="F1178" t="s">
        <v>108</v>
      </c>
      <c r="H1178" t="s">
        <v>108</v>
      </c>
    </row>
    <row r="1179" spans="6:8" x14ac:dyDescent="0.25">
      <c r="F1179" t="s">
        <v>108</v>
      </c>
      <c r="H1179" t="s">
        <v>108</v>
      </c>
    </row>
    <row r="1180" spans="6:8" x14ac:dyDescent="0.25">
      <c r="F1180" t="s">
        <v>108</v>
      </c>
      <c r="H1180" t="s">
        <v>108</v>
      </c>
    </row>
    <row r="1181" spans="6:8" x14ac:dyDescent="0.25">
      <c r="F1181" t="s">
        <v>108</v>
      </c>
      <c r="H1181" t="s">
        <v>108</v>
      </c>
    </row>
    <row r="1182" spans="6:8" x14ac:dyDescent="0.25">
      <c r="F1182" t="s">
        <v>108</v>
      </c>
      <c r="H1182" t="s">
        <v>108</v>
      </c>
    </row>
    <row r="1183" spans="6:8" x14ac:dyDescent="0.25">
      <c r="F1183" t="s">
        <v>108</v>
      </c>
      <c r="H1183" t="s">
        <v>108</v>
      </c>
    </row>
    <row r="1184" spans="6:8" x14ac:dyDescent="0.25">
      <c r="F1184" t="s">
        <v>108</v>
      </c>
      <c r="H1184" t="s">
        <v>108</v>
      </c>
    </row>
    <row r="1185" spans="6:8" x14ac:dyDescent="0.25">
      <c r="F1185" t="s">
        <v>108</v>
      </c>
      <c r="H1185" t="s">
        <v>108</v>
      </c>
    </row>
    <row r="1186" spans="6:8" x14ac:dyDescent="0.25">
      <c r="F1186" t="s">
        <v>108</v>
      </c>
      <c r="H1186" t="s">
        <v>108</v>
      </c>
    </row>
    <row r="1187" spans="6:8" x14ac:dyDescent="0.25">
      <c r="F1187" t="s">
        <v>108</v>
      </c>
      <c r="H1187" t="s">
        <v>108</v>
      </c>
    </row>
    <row r="1188" spans="6:8" x14ac:dyDescent="0.25">
      <c r="F1188" t="s">
        <v>108</v>
      </c>
      <c r="H1188" t="s">
        <v>108</v>
      </c>
    </row>
    <row r="1189" spans="6:8" x14ac:dyDescent="0.25">
      <c r="F1189" t="s">
        <v>108</v>
      </c>
      <c r="H1189" t="s">
        <v>108</v>
      </c>
    </row>
    <row r="1190" spans="6:8" x14ac:dyDescent="0.25">
      <c r="F1190" t="s">
        <v>108</v>
      </c>
      <c r="H1190" t="s">
        <v>108</v>
      </c>
    </row>
    <row r="1191" spans="6:8" x14ac:dyDescent="0.25">
      <c r="F1191" t="s">
        <v>108</v>
      </c>
      <c r="H1191" t="s">
        <v>108</v>
      </c>
    </row>
    <row r="1192" spans="6:8" x14ac:dyDescent="0.25">
      <c r="F1192" t="s">
        <v>108</v>
      </c>
      <c r="H1192" t="s">
        <v>108</v>
      </c>
    </row>
    <row r="1193" spans="6:8" x14ac:dyDescent="0.25">
      <c r="F1193" t="s">
        <v>108</v>
      </c>
      <c r="H1193" t="s">
        <v>108</v>
      </c>
    </row>
    <row r="1194" spans="6:8" x14ac:dyDescent="0.25">
      <c r="F1194" t="s">
        <v>108</v>
      </c>
      <c r="H1194" t="s">
        <v>108</v>
      </c>
    </row>
    <row r="1195" spans="6:8" x14ac:dyDescent="0.25">
      <c r="F1195" t="s">
        <v>108</v>
      </c>
      <c r="H1195" t="s">
        <v>108</v>
      </c>
    </row>
    <row r="1196" spans="6:8" x14ac:dyDescent="0.25">
      <c r="F1196" t="s">
        <v>108</v>
      </c>
      <c r="H1196" t="s">
        <v>108</v>
      </c>
    </row>
    <row r="1197" spans="6:8" x14ac:dyDescent="0.25">
      <c r="F1197" t="s">
        <v>108</v>
      </c>
      <c r="H1197" t="s">
        <v>108</v>
      </c>
    </row>
    <row r="1198" spans="6:8" x14ac:dyDescent="0.25">
      <c r="F1198" t="s">
        <v>108</v>
      </c>
      <c r="H1198" t="s">
        <v>108</v>
      </c>
    </row>
    <row r="1199" spans="6:8" x14ac:dyDescent="0.25">
      <c r="F1199" t="s">
        <v>108</v>
      </c>
      <c r="H1199" t="s">
        <v>108</v>
      </c>
    </row>
    <row r="1200" spans="6:8" x14ac:dyDescent="0.25">
      <c r="F1200" t="s">
        <v>108</v>
      </c>
      <c r="H1200" t="s">
        <v>108</v>
      </c>
    </row>
    <row r="1201" spans="6:8" x14ac:dyDescent="0.25">
      <c r="F1201" t="s">
        <v>108</v>
      </c>
      <c r="H1201" t="s">
        <v>108</v>
      </c>
    </row>
    <row r="1202" spans="6:8" x14ac:dyDescent="0.25">
      <c r="F1202" t="s">
        <v>108</v>
      </c>
      <c r="H1202" t="s">
        <v>108</v>
      </c>
    </row>
    <row r="1203" spans="6:8" x14ac:dyDescent="0.25">
      <c r="F1203" t="s">
        <v>108</v>
      </c>
      <c r="H1203" t="s">
        <v>108</v>
      </c>
    </row>
    <row r="1204" spans="6:8" x14ac:dyDescent="0.25">
      <c r="F1204" t="s">
        <v>108</v>
      </c>
      <c r="H1204" t="s">
        <v>108</v>
      </c>
    </row>
    <row r="1205" spans="6:8" x14ac:dyDescent="0.25">
      <c r="F1205" t="s">
        <v>108</v>
      </c>
      <c r="H1205" t="s">
        <v>108</v>
      </c>
    </row>
    <row r="1206" spans="6:8" x14ac:dyDescent="0.25">
      <c r="F1206" t="s">
        <v>108</v>
      </c>
      <c r="H1206" t="s">
        <v>108</v>
      </c>
    </row>
    <row r="1207" spans="6:8" x14ac:dyDescent="0.25">
      <c r="F1207" t="s">
        <v>108</v>
      </c>
      <c r="H1207" t="s">
        <v>108</v>
      </c>
    </row>
    <row r="1208" spans="6:8" x14ac:dyDescent="0.25">
      <c r="F1208" t="s">
        <v>108</v>
      </c>
      <c r="H1208" t="s">
        <v>108</v>
      </c>
    </row>
    <row r="1209" spans="6:8" x14ac:dyDescent="0.25">
      <c r="F1209" t="s">
        <v>108</v>
      </c>
      <c r="H1209" t="s">
        <v>108</v>
      </c>
    </row>
    <row r="1210" spans="6:8" x14ac:dyDescent="0.25">
      <c r="F1210" t="s">
        <v>108</v>
      </c>
      <c r="H1210" t="s">
        <v>108</v>
      </c>
    </row>
    <row r="1211" spans="6:8" x14ac:dyDescent="0.25">
      <c r="F1211" t="s">
        <v>108</v>
      </c>
      <c r="H1211" t="s">
        <v>108</v>
      </c>
    </row>
    <row r="1212" spans="6:8" x14ac:dyDescent="0.25">
      <c r="F1212" t="s">
        <v>108</v>
      </c>
      <c r="H1212" t="s">
        <v>108</v>
      </c>
    </row>
    <row r="1213" spans="6:8" x14ac:dyDescent="0.25">
      <c r="F1213" t="s">
        <v>108</v>
      </c>
      <c r="H1213" t="s">
        <v>108</v>
      </c>
    </row>
    <row r="1214" spans="6:8" x14ac:dyDescent="0.25">
      <c r="F1214" t="s">
        <v>108</v>
      </c>
      <c r="H1214" t="s">
        <v>108</v>
      </c>
    </row>
    <row r="1215" spans="6:8" x14ac:dyDescent="0.25">
      <c r="F1215" t="s">
        <v>108</v>
      </c>
      <c r="H1215" t="s">
        <v>108</v>
      </c>
    </row>
    <row r="1216" spans="6:8" x14ac:dyDescent="0.25">
      <c r="F1216" t="s">
        <v>108</v>
      </c>
      <c r="H1216" t="s">
        <v>108</v>
      </c>
    </row>
    <row r="1217" spans="6:8" x14ac:dyDescent="0.25">
      <c r="F1217" t="s">
        <v>108</v>
      </c>
      <c r="H1217" t="s">
        <v>108</v>
      </c>
    </row>
    <row r="1218" spans="6:8" x14ac:dyDescent="0.25">
      <c r="F1218" t="s">
        <v>108</v>
      </c>
      <c r="H1218" t="s">
        <v>108</v>
      </c>
    </row>
    <row r="1219" spans="6:8" x14ac:dyDescent="0.25">
      <c r="F1219" t="s">
        <v>108</v>
      </c>
      <c r="H1219" t="s">
        <v>108</v>
      </c>
    </row>
    <row r="1220" spans="6:8" x14ac:dyDescent="0.25">
      <c r="F1220" t="s">
        <v>108</v>
      </c>
      <c r="H1220" t="s">
        <v>108</v>
      </c>
    </row>
    <row r="1221" spans="6:8" x14ac:dyDescent="0.25">
      <c r="F1221" t="s">
        <v>108</v>
      </c>
      <c r="H1221" t="s">
        <v>108</v>
      </c>
    </row>
    <row r="1222" spans="6:8" x14ac:dyDescent="0.25">
      <c r="F1222" t="s">
        <v>108</v>
      </c>
      <c r="H1222" t="s">
        <v>108</v>
      </c>
    </row>
    <row r="1223" spans="6:8" x14ac:dyDescent="0.25">
      <c r="F1223" t="s">
        <v>108</v>
      </c>
      <c r="H1223" t="s">
        <v>108</v>
      </c>
    </row>
    <row r="1224" spans="6:8" x14ac:dyDescent="0.25">
      <c r="F1224" t="s">
        <v>108</v>
      </c>
      <c r="H1224" t="s">
        <v>108</v>
      </c>
    </row>
    <row r="1225" spans="6:8" x14ac:dyDescent="0.25">
      <c r="F1225" t="s">
        <v>108</v>
      </c>
      <c r="H1225" t="s">
        <v>108</v>
      </c>
    </row>
    <row r="1226" spans="6:8" x14ac:dyDescent="0.25">
      <c r="F1226" t="s">
        <v>108</v>
      </c>
      <c r="H1226" t="s">
        <v>108</v>
      </c>
    </row>
    <row r="1227" spans="6:8" x14ac:dyDescent="0.25">
      <c r="F1227" t="s">
        <v>108</v>
      </c>
      <c r="H1227" t="s">
        <v>108</v>
      </c>
    </row>
    <row r="1228" spans="6:8" x14ac:dyDescent="0.25">
      <c r="F1228" t="s">
        <v>108</v>
      </c>
      <c r="H1228" t="s">
        <v>108</v>
      </c>
    </row>
    <row r="1229" spans="6:8" x14ac:dyDescent="0.25">
      <c r="F1229" t="s">
        <v>108</v>
      </c>
      <c r="H1229" t="s">
        <v>108</v>
      </c>
    </row>
    <row r="1230" spans="6:8" x14ac:dyDescent="0.25">
      <c r="F1230" t="s">
        <v>108</v>
      </c>
      <c r="H1230" t="s">
        <v>108</v>
      </c>
    </row>
    <row r="1231" spans="6:8" x14ac:dyDescent="0.25">
      <c r="F1231" t="s">
        <v>108</v>
      </c>
      <c r="H1231" t="s">
        <v>108</v>
      </c>
    </row>
    <row r="1232" spans="6:8" x14ac:dyDescent="0.25">
      <c r="F1232" t="s">
        <v>108</v>
      </c>
      <c r="H1232" t="s">
        <v>108</v>
      </c>
    </row>
    <row r="1233" spans="6:8" x14ac:dyDescent="0.25">
      <c r="F1233" t="s">
        <v>108</v>
      </c>
      <c r="H1233" t="s">
        <v>108</v>
      </c>
    </row>
    <row r="1234" spans="6:8" x14ac:dyDescent="0.25">
      <c r="F1234" t="s">
        <v>108</v>
      </c>
      <c r="H1234" t="s">
        <v>108</v>
      </c>
    </row>
    <row r="1235" spans="6:8" x14ac:dyDescent="0.25">
      <c r="F1235" t="s">
        <v>108</v>
      </c>
      <c r="H1235" t="s">
        <v>108</v>
      </c>
    </row>
    <row r="1236" spans="6:8" x14ac:dyDescent="0.25">
      <c r="F1236" t="s">
        <v>108</v>
      </c>
      <c r="H1236" t="s">
        <v>108</v>
      </c>
    </row>
    <row r="1237" spans="6:8" x14ac:dyDescent="0.25">
      <c r="F1237" t="s">
        <v>108</v>
      </c>
      <c r="H1237" t="s">
        <v>108</v>
      </c>
    </row>
    <row r="1238" spans="6:8" x14ac:dyDescent="0.25">
      <c r="F1238" t="s">
        <v>108</v>
      </c>
      <c r="H1238" t="s">
        <v>108</v>
      </c>
    </row>
    <row r="1239" spans="6:8" x14ac:dyDescent="0.25">
      <c r="F1239" t="s">
        <v>108</v>
      </c>
      <c r="H1239" t="s">
        <v>108</v>
      </c>
    </row>
    <row r="1240" spans="6:8" x14ac:dyDescent="0.25">
      <c r="F1240" t="s">
        <v>108</v>
      </c>
      <c r="H1240" t="s">
        <v>108</v>
      </c>
    </row>
    <row r="1241" spans="6:8" x14ac:dyDescent="0.25">
      <c r="F1241" t="s">
        <v>108</v>
      </c>
      <c r="H1241" t="s">
        <v>108</v>
      </c>
    </row>
    <row r="1242" spans="6:8" x14ac:dyDescent="0.25">
      <c r="F1242" t="s">
        <v>108</v>
      </c>
      <c r="H1242" t="s">
        <v>108</v>
      </c>
    </row>
    <row r="1243" spans="6:8" x14ac:dyDescent="0.25">
      <c r="F1243" t="s">
        <v>108</v>
      </c>
      <c r="H1243" t="s">
        <v>108</v>
      </c>
    </row>
    <row r="1244" spans="6:8" x14ac:dyDescent="0.25">
      <c r="F1244" t="s">
        <v>108</v>
      </c>
      <c r="H1244" t="s">
        <v>108</v>
      </c>
    </row>
    <row r="1245" spans="6:8" x14ac:dyDescent="0.25">
      <c r="F1245" t="s">
        <v>108</v>
      </c>
      <c r="H1245" t="s">
        <v>108</v>
      </c>
    </row>
    <row r="1246" spans="6:8" x14ac:dyDescent="0.25">
      <c r="F1246" t="s">
        <v>108</v>
      </c>
      <c r="H1246" t="s">
        <v>108</v>
      </c>
    </row>
    <row r="1247" spans="6:8" x14ac:dyDescent="0.25">
      <c r="F1247" t="s">
        <v>108</v>
      </c>
      <c r="H1247" t="s">
        <v>108</v>
      </c>
    </row>
    <row r="1248" spans="6:8" x14ac:dyDescent="0.25">
      <c r="F1248" t="s">
        <v>108</v>
      </c>
      <c r="H1248" t="s">
        <v>108</v>
      </c>
    </row>
    <row r="1249" spans="6:8" x14ac:dyDescent="0.25">
      <c r="F1249" t="s">
        <v>108</v>
      </c>
      <c r="H1249" t="s">
        <v>108</v>
      </c>
    </row>
    <row r="1250" spans="6:8" x14ac:dyDescent="0.25">
      <c r="F1250" t="s">
        <v>108</v>
      </c>
      <c r="H1250" t="s">
        <v>108</v>
      </c>
    </row>
    <row r="1251" spans="6:8" x14ac:dyDescent="0.25">
      <c r="F1251" t="s">
        <v>108</v>
      </c>
      <c r="H1251" t="s">
        <v>108</v>
      </c>
    </row>
    <row r="1252" spans="6:8" x14ac:dyDescent="0.25">
      <c r="F1252" t="s">
        <v>108</v>
      </c>
      <c r="H1252" t="s">
        <v>108</v>
      </c>
    </row>
    <row r="1253" spans="6:8" x14ac:dyDescent="0.25">
      <c r="F1253" t="s">
        <v>108</v>
      </c>
      <c r="H1253" t="s">
        <v>108</v>
      </c>
    </row>
    <row r="1254" spans="6:8" x14ac:dyDescent="0.25">
      <c r="F1254" t="s">
        <v>108</v>
      </c>
      <c r="H1254" t="s">
        <v>108</v>
      </c>
    </row>
    <row r="1255" spans="6:8" x14ac:dyDescent="0.25">
      <c r="F1255" t="s">
        <v>108</v>
      </c>
      <c r="H1255" t="s">
        <v>108</v>
      </c>
    </row>
    <row r="1256" spans="6:8" x14ac:dyDescent="0.25">
      <c r="F1256" t="s">
        <v>108</v>
      </c>
      <c r="H1256" t="s">
        <v>108</v>
      </c>
    </row>
    <row r="1257" spans="6:8" x14ac:dyDescent="0.25">
      <c r="F1257" t="s">
        <v>108</v>
      </c>
      <c r="H1257" t="s">
        <v>108</v>
      </c>
    </row>
    <row r="1258" spans="6:8" x14ac:dyDescent="0.25">
      <c r="F1258" t="s">
        <v>108</v>
      </c>
      <c r="H1258" t="s">
        <v>108</v>
      </c>
    </row>
    <row r="1259" spans="6:8" x14ac:dyDescent="0.25">
      <c r="F1259" t="s">
        <v>108</v>
      </c>
      <c r="H1259" t="s">
        <v>108</v>
      </c>
    </row>
    <row r="1260" spans="6:8" x14ac:dyDescent="0.25">
      <c r="F1260" t="s">
        <v>108</v>
      </c>
      <c r="H1260" t="s">
        <v>108</v>
      </c>
    </row>
    <row r="1261" spans="6:8" x14ac:dyDescent="0.25">
      <c r="F1261" t="s">
        <v>108</v>
      </c>
      <c r="H1261" t="s">
        <v>108</v>
      </c>
    </row>
    <row r="1262" spans="6:8" x14ac:dyDescent="0.25">
      <c r="F1262" t="s">
        <v>108</v>
      </c>
      <c r="H1262" t="s">
        <v>108</v>
      </c>
    </row>
    <row r="1263" spans="6:8" x14ac:dyDescent="0.25">
      <c r="F1263" t="s">
        <v>108</v>
      </c>
      <c r="H1263" t="s">
        <v>108</v>
      </c>
    </row>
    <row r="1264" spans="6:8" x14ac:dyDescent="0.25">
      <c r="F1264" t="s">
        <v>108</v>
      </c>
      <c r="H1264" t="s">
        <v>108</v>
      </c>
    </row>
    <row r="1265" spans="6:8" x14ac:dyDescent="0.25">
      <c r="F1265" t="s">
        <v>108</v>
      </c>
      <c r="H1265" t="s">
        <v>108</v>
      </c>
    </row>
    <row r="1266" spans="6:8" x14ac:dyDescent="0.25">
      <c r="F1266" t="s">
        <v>108</v>
      </c>
      <c r="H1266" t="s">
        <v>108</v>
      </c>
    </row>
    <row r="1267" spans="6:8" x14ac:dyDescent="0.25">
      <c r="F1267" t="s">
        <v>108</v>
      </c>
      <c r="H1267" t="s">
        <v>108</v>
      </c>
    </row>
    <row r="1268" spans="6:8" x14ac:dyDescent="0.25">
      <c r="F1268" t="s">
        <v>108</v>
      </c>
      <c r="H1268" t="s">
        <v>108</v>
      </c>
    </row>
    <row r="1269" spans="6:8" x14ac:dyDescent="0.25">
      <c r="F1269" t="s">
        <v>108</v>
      </c>
      <c r="H1269" t="s">
        <v>108</v>
      </c>
    </row>
    <row r="1270" spans="6:8" x14ac:dyDescent="0.25">
      <c r="F1270" t="s">
        <v>108</v>
      </c>
      <c r="H1270" t="s">
        <v>108</v>
      </c>
    </row>
    <row r="1271" spans="6:8" x14ac:dyDescent="0.25">
      <c r="F1271" t="s">
        <v>108</v>
      </c>
      <c r="H1271" t="s">
        <v>108</v>
      </c>
    </row>
    <row r="1272" spans="6:8" x14ac:dyDescent="0.25">
      <c r="F1272" t="s">
        <v>108</v>
      </c>
      <c r="H1272" t="s">
        <v>108</v>
      </c>
    </row>
    <row r="1273" spans="6:8" x14ac:dyDescent="0.25">
      <c r="F1273" t="s">
        <v>108</v>
      </c>
      <c r="H1273" t="s">
        <v>108</v>
      </c>
    </row>
    <row r="1274" spans="6:8" x14ac:dyDescent="0.25">
      <c r="F1274" t="s">
        <v>108</v>
      </c>
      <c r="H1274" t="s">
        <v>108</v>
      </c>
    </row>
    <row r="1275" spans="6:8" x14ac:dyDescent="0.25">
      <c r="F1275" t="s">
        <v>108</v>
      </c>
      <c r="H1275" t="s">
        <v>108</v>
      </c>
    </row>
    <row r="1276" spans="6:8" x14ac:dyDescent="0.25">
      <c r="F1276" t="s">
        <v>108</v>
      </c>
      <c r="H1276" t="s">
        <v>108</v>
      </c>
    </row>
    <row r="1277" spans="6:8" x14ac:dyDescent="0.25">
      <c r="F1277" t="s">
        <v>108</v>
      </c>
      <c r="H1277" t="s">
        <v>108</v>
      </c>
    </row>
    <row r="1278" spans="6:8" x14ac:dyDescent="0.25">
      <c r="F1278" t="s">
        <v>108</v>
      </c>
      <c r="H1278" t="s">
        <v>108</v>
      </c>
    </row>
    <row r="1279" spans="6:8" x14ac:dyDescent="0.25">
      <c r="F1279" t="s">
        <v>108</v>
      </c>
      <c r="H1279" t="s">
        <v>108</v>
      </c>
    </row>
    <row r="1280" spans="6:8" x14ac:dyDescent="0.25">
      <c r="F1280" t="s">
        <v>108</v>
      </c>
      <c r="H1280" t="s">
        <v>108</v>
      </c>
    </row>
    <row r="1281" spans="6:8" x14ac:dyDescent="0.25">
      <c r="F1281" t="s">
        <v>108</v>
      </c>
      <c r="H1281" t="s">
        <v>108</v>
      </c>
    </row>
    <row r="1282" spans="6:8" x14ac:dyDescent="0.25">
      <c r="F1282" t="s">
        <v>108</v>
      </c>
      <c r="H1282" t="s">
        <v>108</v>
      </c>
    </row>
    <row r="1283" spans="6:8" x14ac:dyDescent="0.25">
      <c r="F1283" t="s">
        <v>108</v>
      </c>
      <c r="H1283" t="s">
        <v>108</v>
      </c>
    </row>
    <row r="1284" spans="6:8" x14ac:dyDescent="0.25">
      <c r="F1284" t="s">
        <v>108</v>
      </c>
      <c r="H1284" t="s">
        <v>108</v>
      </c>
    </row>
    <row r="1285" spans="6:8" x14ac:dyDescent="0.25">
      <c r="F1285" t="s">
        <v>108</v>
      </c>
      <c r="H1285" t="s">
        <v>108</v>
      </c>
    </row>
    <row r="1286" spans="6:8" x14ac:dyDescent="0.25">
      <c r="F1286" t="s">
        <v>108</v>
      </c>
      <c r="H1286" t="s">
        <v>108</v>
      </c>
    </row>
    <row r="1287" spans="6:8" x14ac:dyDescent="0.25">
      <c r="F1287" t="s">
        <v>108</v>
      </c>
      <c r="H1287" t="s">
        <v>108</v>
      </c>
    </row>
    <row r="1288" spans="6:8" x14ac:dyDescent="0.25">
      <c r="F1288" t="s">
        <v>108</v>
      </c>
      <c r="H1288" t="s">
        <v>108</v>
      </c>
    </row>
    <row r="1289" spans="6:8" x14ac:dyDescent="0.25">
      <c r="F1289" t="s">
        <v>108</v>
      </c>
      <c r="H1289" t="s">
        <v>108</v>
      </c>
    </row>
    <row r="1290" spans="6:8" x14ac:dyDescent="0.25">
      <c r="F1290" t="s">
        <v>108</v>
      </c>
      <c r="H1290" t="s">
        <v>108</v>
      </c>
    </row>
    <row r="1291" spans="6:8" x14ac:dyDescent="0.25">
      <c r="F1291" t="s">
        <v>108</v>
      </c>
      <c r="H1291" t="s">
        <v>108</v>
      </c>
    </row>
    <row r="1292" spans="6:8" x14ac:dyDescent="0.25">
      <c r="F1292" t="s">
        <v>108</v>
      </c>
      <c r="H1292" t="s">
        <v>108</v>
      </c>
    </row>
    <row r="1293" spans="6:8" x14ac:dyDescent="0.25">
      <c r="F1293" t="s">
        <v>108</v>
      </c>
      <c r="H1293" t="s">
        <v>108</v>
      </c>
    </row>
    <row r="1294" spans="6:8" x14ac:dyDescent="0.25">
      <c r="F1294" t="s">
        <v>108</v>
      </c>
      <c r="H1294" t="s">
        <v>108</v>
      </c>
    </row>
    <row r="1295" spans="6:8" x14ac:dyDescent="0.25">
      <c r="F1295" t="s">
        <v>108</v>
      </c>
      <c r="H1295" t="s">
        <v>108</v>
      </c>
    </row>
    <row r="1296" spans="6:8" x14ac:dyDescent="0.25">
      <c r="F1296" t="s">
        <v>108</v>
      </c>
      <c r="H1296" t="s">
        <v>108</v>
      </c>
    </row>
    <row r="1297" spans="6:8" x14ac:dyDescent="0.25">
      <c r="F1297" t="s">
        <v>108</v>
      </c>
      <c r="H1297" t="s">
        <v>108</v>
      </c>
    </row>
    <row r="1298" spans="6:8" x14ac:dyDescent="0.25">
      <c r="F1298" t="s">
        <v>108</v>
      </c>
      <c r="H1298" t="s">
        <v>108</v>
      </c>
    </row>
    <row r="1299" spans="6:8" x14ac:dyDescent="0.25">
      <c r="F1299" t="s">
        <v>108</v>
      </c>
      <c r="H1299" t="s">
        <v>108</v>
      </c>
    </row>
    <row r="1300" spans="6:8" x14ac:dyDescent="0.25">
      <c r="F1300" t="s">
        <v>108</v>
      </c>
      <c r="H1300" t="s">
        <v>108</v>
      </c>
    </row>
    <row r="1301" spans="6:8" x14ac:dyDescent="0.25">
      <c r="F1301" t="s">
        <v>108</v>
      </c>
      <c r="H1301" t="s">
        <v>108</v>
      </c>
    </row>
    <row r="1302" spans="6:8" x14ac:dyDescent="0.25">
      <c r="F1302" t="s">
        <v>108</v>
      </c>
      <c r="H1302" t="s">
        <v>108</v>
      </c>
    </row>
    <row r="1303" spans="6:8" x14ac:dyDescent="0.25">
      <c r="F1303" t="s">
        <v>108</v>
      </c>
      <c r="H1303" t="s">
        <v>108</v>
      </c>
    </row>
    <row r="1304" spans="6:8" x14ac:dyDescent="0.25">
      <c r="F1304" t="s">
        <v>108</v>
      </c>
      <c r="H1304" t="s">
        <v>108</v>
      </c>
    </row>
    <row r="1305" spans="6:8" x14ac:dyDescent="0.25">
      <c r="F1305" t="s">
        <v>108</v>
      </c>
      <c r="H1305" t="s">
        <v>108</v>
      </c>
    </row>
    <row r="1306" spans="6:8" x14ac:dyDescent="0.25">
      <c r="F1306" t="s">
        <v>108</v>
      </c>
      <c r="H1306" t="s">
        <v>108</v>
      </c>
    </row>
    <row r="1307" spans="6:8" x14ac:dyDescent="0.25">
      <c r="F1307" t="s">
        <v>108</v>
      </c>
      <c r="H1307" t="s">
        <v>108</v>
      </c>
    </row>
    <row r="1308" spans="6:8" x14ac:dyDescent="0.25">
      <c r="F1308" t="s">
        <v>108</v>
      </c>
      <c r="H1308" t="s">
        <v>108</v>
      </c>
    </row>
    <row r="1309" spans="6:8" x14ac:dyDescent="0.25">
      <c r="F1309" t="s">
        <v>108</v>
      </c>
      <c r="H1309" t="s">
        <v>108</v>
      </c>
    </row>
    <row r="1310" spans="6:8" x14ac:dyDescent="0.25">
      <c r="F1310" t="s">
        <v>108</v>
      </c>
      <c r="H1310" t="s">
        <v>108</v>
      </c>
    </row>
    <row r="1311" spans="6:8" x14ac:dyDescent="0.25">
      <c r="F1311" t="s">
        <v>108</v>
      </c>
      <c r="H1311" t="s">
        <v>108</v>
      </c>
    </row>
    <row r="1312" spans="6:8" x14ac:dyDescent="0.25">
      <c r="F1312" t="s">
        <v>108</v>
      </c>
      <c r="H1312" t="s">
        <v>108</v>
      </c>
    </row>
    <row r="1313" spans="6:8" x14ac:dyDescent="0.25">
      <c r="F1313" t="s">
        <v>108</v>
      </c>
      <c r="H1313" t="s">
        <v>108</v>
      </c>
    </row>
    <row r="1314" spans="6:8" x14ac:dyDescent="0.25">
      <c r="F1314" t="s">
        <v>108</v>
      </c>
      <c r="H1314" t="s">
        <v>108</v>
      </c>
    </row>
    <row r="1315" spans="6:8" x14ac:dyDescent="0.25">
      <c r="F1315" t="s">
        <v>108</v>
      </c>
      <c r="H1315" t="s">
        <v>108</v>
      </c>
    </row>
    <row r="1316" spans="6:8" x14ac:dyDescent="0.25">
      <c r="F1316" t="s">
        <v>108</v>
      </c>
      <c r="H1316" t="s">
        <v>108</v>
      </c>
    </row>
    <row r="1317" spans="6:8" x14ac:dyDescent="0.25">
      <c r="F1317" t="s">
        <v>108</v>
      </c>
      <c r="H1317" t="s">
        <v>108</v>
      </c>
    </row>
    <row r="1318" spans="6:8" x14ac:dyDescent="0.25">
      <c r="F1318" t="s">
        <v>108</v>
      </c>
      <c r="H1318" t="s">
        <v>108</v>
      </c>
    </row>
    <row r="1319" spans="6:8" x14ac:dyDescent="0.25">
      <c r="F1319" t="s">
        <v>108</v>
      </c>
      <c r="H1319" t="s">
        <v>108</v>
      </c>
    </row>
    <row r="1320" spans="6:8" x14ac:dyDescent="0.25">
      <c r="F1320" t="s">
        <v>108</v>
      </c>
      <c r="H1320" t="s">
        <v>108</v>
      </c>
    </row>
    <row r="1321" spans="6:8" x14ac:dyDescent="0.25">
      <c r="F1321" t="s">
        <v>108</v>
      </c>
      <c r="H1321" t="s">
        <v>108</v>
      </c>
    </row>
    <row r="1322" spans="6:8" x14ac:dyDescent="0.25">
      <c r="F1322" t="s">
        <v>108</v>
      </c>
      <c r="H1322" t="s">
        <v>108</v>
      </c>
    </row>
    <row r="1323" spans="6:8" x14ac:dyDescent="0.25">
      <c r="F1323" t="s">
        <v>108</v>
      </c>
      <c r="H1323" t="s">
        <v>108</v>
      </c>
    </row>
    <row r="1324" spans="6:8" x14ac:dyDescent="0.25">
      <c r="F1324" t="s">
        <v>108</v>
      </c>
      <c r="H1324" t="s">
        <v>108</v>
      </c>
    </row>
    <row r="1325" spans="6:8" x14ac:dyDescent="0.25">
      <c r="F1325" t="s">
        <v>108</v>
      </c>
      <c r="H1325" t="s">
        <v>108</v>
      </c>
    </row>
    <row r="1326" spans="6:8" x14ac:dyDescent="0.25">
      <c r="F1326" t="s">
        <v>108</v>
      </c>
      <c r="H1326" t="s">
        <v>108</v>
      </c>
    </row>
    <row r="1327" spans="6:8" x14ac:dyDescent="0.25">
      <c r="F1327" t="s">
        <v>108</v>
      </c>
      <c r="H1327" t="s">
        <v>108</v>
      </c>
    </row>
    <row r="1328" spans="6:8" x14ac:dyDescent="0.25">
      <c r="F1328" t="s">
        <v>108</v>
      </c>
      <c r="H1328" t="s">
        <v>108</v>
      </c>
    </row>
    <row r="1329" spans="6:8" x14ac:dyDescent="0.25">
      <c r="F1329" t="s">
        <v>108</v>
      </c>
      <c r="H1329" t="s">
        <v>108</v>
      </c>
    </row>
    <row r="1330" spans="6:8" x14ac:dyDescent="0.25">
      <c r="F1330" t="s">
        <v>108</v>
      </c>
      <c r="H1330" t="s">
        <v>108</v>
      </c>
    </row>
    <row r="1331" spans="6:8" x14ac:dyDescent="0.25">
      <c r="F1331" t="s">
        <v>108</v>
      </c>
      <c r="H1331" t="s">
        <v>108</v>
      </c>
    </row>
    <row r="1332" spans="6:8" x14ac:dyDescent="0.25">
      <c r="F1332" t="s">
        <v>108</v>
      </c>
      <c r="H1332" t="s">
        <v>108</v>
      </c>
    </row>
    <row r="1333" spans="6:8" x14ac:dyDescent="0.25">
      <c r="F1333" t="s">
        <v>108</v>
      </c>
      <c r="H1333" t="s">
        <v>108</v>
      </c>
    </row>
    <row r="1334" spans="6:8" x14ac:dyDescent="0.25">
      <c r="F1334" t="s">
        <v>108</v>
      </c>
      <c r="H1334" t="s">
        <v>108</v>
      </c>
    </row>
    <row r="1335" spans="6:8" x14ac:dyDescent="0.25">
      <c r="F1335" t="s">
        <v>108</v>
      </c>
      <c r="H1335" t="s">
        <v>108</v>
      </c>
    </row>
    <row r="1336" spans="6:8" x14ac:dyDescent="0.25">
      <c r="F1336" t="s">
        <v>108</v>
      </c>
      <c r="H1336" t="s">
        <v>108</v>
      </c>
    </row>
    <row r="1337" spans="6:8" x14ac:dyDescent="0.25">
      <c r="F1337" t="s">
        <v>108</v>
      </c>
      <c r="H1337" t="s">
        <v>108</v>
      </c>
    </row>
    <row r="1338" spans="6:8" x14ac:dyDescent="0.25">
      <c r="F1338" t="s">
        <v>108</v>
      </c>
      <c r="H1338" t="s">
        <v>108</v>
      </c>
    </row>
    <row r="1339" spans="6:8" x14ac:dyDescent="0.25">
      <c r="F1339" t="s">
        <v>108</v>
      </c>
      <c r="H1339" t="s">
        <v>108</v>
      </c>
    </row>
    <row r="1340" spans="6:8" x14ac:dyDescent="0.25">
      <c r="F1340" t="s">
        <v>108</v>
      </c>
      <c r="H1340" t="s">
        <v>108</v>
      </c>
    </row>
    <row r="1341" spans="6:8" x14ac:dyDescent="0.25">
      <c r="F1341" t="s">
        <v>108</v>
      </c>
      <c r="H1341" t="s">
        <v>108</v>
      </c>
    </row>
    <row r="1342" spans="6:8" x14ac:dyDescent="0.25">
      <c r="F1342" t="s">
        <v>108</v>
      </c>
      <c r="H1342" t="s">
        <v>108</v>
      </c>
    </row>
    <row r="1343" spans="6:8" x14ac:dyDescent="0.25">
      <c r="F1343" t="s">
        <v>108</v>
      </c>
      <c r="H1343" t="s">
        <v>108</v>
      </c>
    </row>
    <row r="1344" spans="6:8" x14ac:dyDescent="0.25">
      <c r="F1344" t="s">
        <v>108</v>
      </c>
      <c r="H1344" t="s">
        <v>108</v>
      </c>
    </row>
    <row r="1345" spans="6:8" x14ac:dyDescent="0.25">
      <c r="F1345" t="s">
        <v>108</v>
      </c>
      <c r="H1345" t="s">
        <v>108</v>
      </c>
    </row>
    <row r="1346" spans="6:8" x14ac:dyDescent="0.25">
      <c r="F1346" t="s">
        <v>108</v>
      </c>
      <c r="H1346" t="s">
        <v>108</v>
      </c>
    </row>
    <row r="1347" spans="6:8" x14ac:dyDescent="0.25">
      <c r="F1347" t="s">
        <v>108</v>
      </c>
      <c r="H1347" t="s">
        <v>108</v>
      </c>
    </row>
    <row r="1348" spans="6:8" x14ac:dyDescent="0.25">
      <c r="F1348" t="s">
        <v>108</v>
      </c>
      <c r="H1348" t="s">
        <v>108</v>
      </c>
    </row>
    <row r="1349" spans="6:8" x14ac:dyDescent="0.25">
      <c r="F1349" t="s">
        <v>108</v>
      </c>
      <c r="H1349" t="s">
        <v>108</v>
      </c>
    </row>
    <row r="1350" spans="6:8" x14ac:dyDescent="0.25">
      <c r="F1350" t="s">
        <v>108</v>
      </c>
      <c r="H1350" t="s">
        <v>108</v>
      </c>
    </row>
    <row r="1351" spans="6:8" x14ac:dyDescent="0.25">
      <c r="F1351" t="s">
        <v>108</v>
      </c>
      <c r="H1351" t="s">
        <v>108</v>
      </c>
    </row>
    <row r="1352" spans="6:8" x14ac:dyDescent="0.25">
      <c r="F1352" t="s">
        <v>108</v>
      </c>
      <c r="H1352" t="s">
        <v>108</v>
      </c>
    </row>
    <row r="1353" spans="6:8" x14ac:dyDescent="0.25">
      <c r="F1353" t="s">
        <v>108</v>
      </c>
      <c r="H1353" t="s">
        <v>108</v>
      </c>
    </row>
    <row r="1354" spans="6:8" x14ac:dyDescent="0.25">
      <c r="F1354" t="s">
        <v>108</v>
      </c>
      <c r="H1354" t="s">
        <v>108</v>
      </c>
    </row>
    <row r="1355" spans="6:8" x14ac:dyDescent="0.25">
      <c r="F1355" t="s">
        <v>108</v>
      </c>
      <c r="H1355" t="s">
        <v>108</v>
      </c>
    </row>
    <row r="1356" spans="6:8" x14ac:dyDescent="0.25">
      <c r="F1356" t="s">
        <v>108</v>
      </c>
      <c r="H1356" t="s">
        <v>108</v>
      </c>
    </row>
    <row r="1357" spans="6:8" x14ac:dyDescent="0.25">
      <c r="F1357" t="s">
        <v>108</v>
      </c>
      <c r="H1357" t="s">
        <v>108</v>
      </c>
    </row>
    <row r="1358" spans="6:8" x14ac:dyDescent="0.25">
      <c r="F1358" t="s">
        <v>108</v>
      </c>
      <c r="H1358" t="s">
        <v>108</v>
      </c>
    </row>
    <row r="1359" spans="6:8" x14ac:dyDescent="0.25">
      <c r="F1359" t="s">
        <v>108</v>
      </c>
      <c r="H1359" t="s">
        <v>108</v>
      </c>
    </row>
    <row r="1360" spans="6:8" x14ac:dyDescent="0.25">
      <c r="F1360" t="s">
        <v>108</v>
      </c>
      <c r="H1360" t="s">
        <v>108</v>
      </c>
    </row>
    <row r="1361" spans="6:8" x14ac:dyDescent="0.25">
      <c r="F1361" t="s">
        <v>108</v>
      </c>
      <c r="H1361" t="s">
        <v>108</v>
      </c>
    </row>
    <row r="1362" spans="6:8" x14ac:dyDescent="0.25">
      <c r="F1362" t="s">
        <v>108</v>
      </c>
      <c r="H1362" t="s">
        <v>108</v>
      </c>
    </row>
    <row r="1363" spans="6:8" x14ac:dyDescent="0.25">
      <c r="F1363" t="s">
        <v>108</v>
      </c>
      <c r="H1363" t="s">
        <v>108</v>
      </c>
    </row>
    <row r="1364" spans="6:8" x14ac:dyDescent="0.25">
      <c r="F1364" t="s">
        <v>108</v>
      </c>
      <c r="H1364" t="s">
        <v>108</v>
      </c>
    </row>
    <row r="1365" spans="6:8" x14ac:dyDescent="0.25">
      <c r="F1365" t="s">
        <v>108</v>
      </c>
      <c r="H1365" t="s">
        <v>108</v>
      </c>
    </row>
    <row r="1366" spans="6:8" x14ac:dyDescent="0.25">
      <c r="F1366" t="s">
        <v>108</v>
      </c>
      <c r="H1366" t="s">
        <v>108</v>
      </c>
    </row>
    <row r="1367" spans="6:8" x14ac:dyDescent="0.25">
      <c r="F1367" t="s">
        <v>108</v>
      </c>
      <c r="H1367" t="s">
        <v>108</v>
      </c>
    </row>
    <row r="1368" spans="6:8" x14ac:dyDescent="0.25">
      <c r="F1368" t="s">
        <v>108</v>
      </c>
      <c r="H1368" t="s">
        <v>108</v>
      </c>
    </row>
    <row r="1369" spans="6:8" x14ac:dyDescent="0.25">
      <c r="F1369" t="s">
        <v>108</v>
      </c>
      <c r="H1369" t="s">
        <v>108</v>
      </c>
    </row>
    <row r="1370" spans="6:8" x14ac:dyDescent="0.25">
      <c r="F1370" t="s">
        <v>108</v>
      </c>
      <c r="H1370" t="s">
        <v>108</v>
      </c>
    </row>
    <row r="1371" spans="6:8" x14ac:dyDescent="0.25">
      <c r="F1371" t="s">
        <v>108</v>
      </c>
      <c r="H1371" t="s">
        <v>108</v>
      </c>
    </row>
    <row r="1372" spans="6:8" x14ac:dyDescent="0.25">
      <c r="F1372" t="s">
        <v>108</v>
      </c>
      <c r="H1372" t="s">
        <v>108</v>
      </c>
    </row>
    <row r="1373" spans="6:8" x14ac:dyDescent="0.25">
      <c r="F1373" t="s">
        <v>108</v>
      </c>
      <c r="H1373" t="s">
        <v>108</v>
      </c>
    </row>
    <row r="1374" spans="6:8" x14ac:dyDescent="0.25">
      <c r="F1374" t="s">
        <v>108</v>
      </c>
      <c r="H1374" t="s">
        <v>108</v>
      </c>
    </row>
    <row r="1375" spans="6:8" x14ac:dyDescent="0.25">
      <c r="F1375" t="s">
        <v>108</v>
      </c>
      <c r="H1375" t="s">
        <v>108</v>
      </c>
    </row>
    <row r="1376" spans="6:8" x14ac:dyDescent="0.25">
      <c r="F1376" t="s">
        <v>108</v>
      </c>
      <c r="H1376" t="s">
        <v>108</v>
      </c>
    </row>
    <row r="1377" spans="6:8" x14ac:dyDescent="0.25">
      <c r="F1377" t="s">
        <v>108</v>
      </c>
      <c r="H1377" t="s">
        <v>108</v>
      </c>
    </row>
    <row r="1378" spans="6:8" x14ac:dyDescent="0.25">
      <c r="F1378" t="s">
        <v>108</v>
      </c>
      <c r="H1378" t="s">
        <v>108</v>
      </c>
    </row>
    <row r="1379" spans="6:8" x14ac:dyDescent="0.25">
      <c r="F1379" t="s">
        <v>108</v>
      </c>
      <c r="H1379" t="s">
        <v>108</v>
      </c>
    </row>
    <row r="1380" spans="6:8" x14ac:dyDescent="0.25">
      <c r="F1380" t="s">
        <v>108</v>
      </c>
      <c r="H1380" t="s">
        <v>108</v>
      </c>
    </row>
    <row r="1381" spans="6:8" x14ac:dyDescent="0.25">
      <c r="F1381" t="s">
        <v>108</v>
      </c>
      <c r="H1381" t="s">
        <v>108</v>
      </c>
    </row>
    <row r="1382" spans="6:8" x14ac:dyDescent="0.25">
      <c r="F1382" t="s">
        <v>108</v>
      </c>
      <c r="H1382" t="s">
        <v>108</v>
      </c>
    </row>
    <row r="1383" spans="6:8" x14ac:dyDescent="0.25">
      <c r="F1383" t="s">
        <v>108</v>
      </c>
      <c r="H1383" t="s">
        <v>108</v>
      </c>
    </row>
    <row r="1384" spans="6:8" x14ac:dyDescent="0.25">
      <c r="F1384" t="s">
        <v>108</v>
      </c>
      <c r="H1384" t="s">
        <v>108</v>
      </c>
    </row>
    <row r="1385" spans="6:8" x14ac:dyDescent="0.25">
      <c r="F1385" t="s">
        <v>108</v>
      </c>
      <c r="H1385" t="s">
        <v>108</v>
      </c>
    </row>
    <row r="1386" spans="6:8" x14ac:dyDescent="0.25">
      <c r="F1386" t="s">
        <v>108</v>
      </c>
      <c r="H1386" t="s">
        <v>108</v>
      </c>
    </row>
    <row r="1387" spans="6:8" x14ac:dyDescent="0.25">
      <c r="F1387" t="s">
        <v>108</v>
      </c>
      <c r="H1387" t="s">
        <v>108</v>
      </c>
    </row>
    <row r="1388" spans="6:8" x14ac:dyDescent="0.25">
      <c r="F1388" t="s">
        <v>108</v>
      </c>
      <c r="H1388" t="s">
        <v>108</v>
      </c>
    </row>
    <row r="1389" spans="6:8" x14ac:dyDescent="0.25">
      <c r="F1389" t="s">
        <v>108</v>
      </c>
      <c r="H1389" t="s">
        <v>108</v>
      </c>
    </row>
    <row r="1390" spans="6:8" x14ac:dyDescent="0.25">
      <c r="F1390" t="s">
        <v>108</v>
      </c>
      <c r="H1390" t="s">
        <v>108</v>
      </c>
    </row>
    <row r="1391" spans="6:8" x14ac:dyDescent="0.25">
      <c r="F1391" t="s">
        <v>108</v>
      </c>
      <c r="H1391" t="s">
        <v>108</v>
      </c>
    </row>
    <row r="1392" spans="6:8" x14ac:dyDescent="0.25">
      <c r="F1392" t="s">
        <v>108</v>
      </c>
      <c r="H1392" t="s">
        <v>108</v>
      </c>
    </row>
    <row r="1393" spans="6:8" x14ac:dyDescent="0.25">
      <c r="F1393" t="s">
        <v>108</v>
      </c>
      <c r="H1393" t="s">
        <v>108</v>
      </c>
    </row>
    <row r="1394" spans="6:8" x14ac:dyDescent="0.25">
      <c r="F1394" t="s">
        <v>108</v>
      </c>
      <c r="H1394" t="s">
        <v>108</v>
      </c>
    </row>
    <row r="1395" spans="6:8" x14ac:dyDescent="0.25">
      <c r="F1395" t="s">
        <v>108</v>
      </c>
      <c r="H1395" t="s">
        <v>108</v>
      </c>
    </row>
    <row r="1396" spans="6:8" x14ac:dyDescent="0.25">
      <c r="F1396" t="s">
        <v>108</v>
      </c>
      <c r="H1396" t="s">
        <v>108</v>
      </c>
    </row>
    <row r="1397" spans="6:8" x14ac:dyDescent="0.25">
      <c r="F1397" t="s">
        <v>108</v>
      </c>
      <c r="H1397" t="s">
        <v>108</v>
      </c>
    </row>
    <row r="1398" spans="6:8" x14ac:dyDescent="0.25">
      <c r="F1398" t="s">
        <v>108</v>
      </c>
      <c r="H1398" t="s">
        <v>108</v>
      </c>
    </row>
    <row r="1399" spans="6:8" x14ac:dyDescent="0.25">
      <c r="F1399" t="s">
        <v>108</v>
      </c>
      <c r="H1399" t="s">
        <v>108</v>
      </c>
    </row>
    <row r="1400" spans="6:8" x14ac:dyDescent="0.25">
      <c r="F1400" t="s">
        <v>108</v>
      </c>
      <c r="H1400" t="s">
        <v>108</v>
      </c>
    </row>
    <row r="1401" spans="6:8" x14ac:dyDescent="0.25">
      <c r="F1401" t="s">
        <v>108</v>
      </c>
      <c r="H1401" t="s">
        <v>108</v>
      </c>
    </row>
    <row r="1402" spans="6:8" x14ac:dyDescent="0.25">
      <c r="F1402" t="s">
        <v>108</v>
      </c>
      <c r="H1402" t="s">
        <v>108</v>
      </c>
    </row>
    <row r="1403" spans="6:8" x14ac:dyDescent="0.25">
      <c r="F1403" t="s">
        <v>108</v>
      </c>
      <c r="H1403" t="s">
        <v>108</v>
      </c>
    </row>
    <row r="1404" spans="6:8" x14ac:dyDescent="0.25">
      <c r="F1404" t="s">
        <v>108</v>
      </c>
      <c r="H1404" t="s">
        <v>108</v>
      </c>
    </row>
    <row r="1405" spans="6:8" x14ac:dyDescent="0.25">
      <c r="F1405" t="s">
        <v>108</v>
      </c>
      <c r="H1405" t="s">
        <v>108</v>
      </c>
    </row>
    <row r="1406" spans="6:8" x14ac:dyDescent="0.25">
      <c r="F1406" t="s">
        <v>108</v>
      </c>
      <c r="H1406" t="s">
        <v>108</v>
      </c>
    </row>
    <row r="1407" spans="6:8" x14ac:dyDescent="0.25">
      <c r="F1407" t="s">
        <v>108</v>
      </c>
      <c r="H1407" t="s">
        <v>108</v>
      </c>
    </row>
    <row r="1408" spans="6:8" x14ac:dyDescent="0.25">
      <c r="F1408" t="s">
        <v>108</v>
      </c>
      <c r="H1408" t="s">
        <v>108</v>
      </c>
    </row>
    <row r="1409" spans="6:8" x14ac:dyDescent="0.25">
      <c r="F1409" t="s">
        <v>108</v>
      </c>
      <c r="H1409" t="s">
        <v>108</v>
      </c>
    </row>
    <row r="1410" spans="6:8" x14ac:dyDescent="0.25">
      <c r="F1410" t="s">
        <v>108</v>
      </c>
      <c r="H1410" t="s">
        <v>108</v>
      </c>
    </row>
    <row r="1411" spans="6:8" x14ac:dyDescent="0.25">
      <c r="F1411" t="s">
        <v>108</v>
      </c>
      <c r="H1411" t="s">
        <v>108</v>
      </c>
    </row>
    <row r="1412" spans="6:8" x14ac:dyDescent="0.25">
      <c r="F1412" t="s">
        <v>108</v>
      </c>
      <c r="H1412" t="s">
        <v>108</v>
      </c>
    </row>
    <row r="1413" spans="6:8" x14ac:dyDescent="0.25">
      <c r="F1413" t="s">
        <v>108</v>
      </c>
      <c r="H1413" t="s">
        <v>108</v>
      </c>
    </row>
    <row r="1414" spans="6:8" x14ac:dyDescent="0.25">
      <c r="F1414" t="s">
        <v>108</v>
      </c>
      <c r="H1414" t="s">
        <v>108</v>
      </c>
    </row>
    <row r="1415" spans="6:8" x14ac:dyDescent="0.25">
      <c r="F1415" t="s">
        <v>108</v>
      </c>
      <c r="H1415" t="s">
        <v>108</v>
      </c>
    </row>
    <row r="1416" spans="6:8" x14ac:dyDescent="0.25">
      <c r="F1416" t="s">
        <v>108</v>
      </c>
      <c r="H1416" t="s">
        <v>108</v>
      </c>
    </row>
    <row r="1417" spans="6:8" x14ac:dyDescent="0.25">
      <c r="F1417" t="s">
        <v>108</v>
      </c>
      <c r="H1417" t="s">
        <v>108</v>
      </c>
    </row>
    <row r="1418" spans="6:8" x14ac:dyDescent="0.25">
      <c r="F1418" t="s">
        <v>108</v>
      </c>
      <c r="H1418" t="s">
        <v>108</v>
      </c>
    </row>
    <row r="1419" spans="6:8" x14ac:dyDescent="0.25">
      <c r="F1419" t="s">
        <v>108</v>
      </c>
      <c r="H1419" t="s">
        <v>108</v>
      </c>
    </row>
    <row r="1420" spans="6:8" x14ac:dyDescent="0.25">
      <c r="F1420" t="s">
        <v>108</v>
      </c>
      <c r="H1420" t="s">
        <v>108</v>
      </c>
    </row>
    <row r="1421" spans="6:8" x14ac:dyDescent="0.25">
      <c r="F1421" t="s">
        <v>108</v>
      </c>
      <c r="H1421" t="s">
        <v>108</v>
      </c>
    </row>
    <row r="1422" spans="6:8" x14ac:dyDescent="0.25">
      <c r="F1422" t="s">
        <v>108</v>
      </c>
      <c r="H1422" t="s">
        <v>108</v>
      </c>
    </row>
    <row r="1423" spans="6:8" x14ac:dyDescent="0.25">
      <c r="F1423" t="s">
        <v>108</v>
      </c>
      <c r="H1423" t="s">
        <v>108</v>
      </c>
    </row>
    <row r="1424" spans="6:8" x14ac:dyDescent="0.25">
      <c r="F1424" t="s">
        <v>108</v>
      </c>
      <c r="H1424" t="s">
        <v>108</v>
      </c>
    </row>
    <row r="1425" spans="6:8" x14ac:dyDescent="0.25">
      <c r="F1425" t="s">
        <v>108</v>
      </c>
      <c r="H1425" t="s">
        <v>108</v>
      </c>
    </row>
    <row r="1426" spans="6:8" x14ac:dyDescent="0.25">
      <c r="F1426" t="s">
        <v>108</v>
      </c>
      <c r="H1426" t="s">
        <v>108</v>
      </c>
    </row>
    <row r="1427" spans="6:8" x14ac:dyDescent="0.25">
      <c r="F1427" t="s">
        <v>108</v>
      </c>
      <c r="H1427" t="s">
        <v>108</v>
      </c>
    </row>
    <row r="1428" spans="6:8" x14ac:dyDescent="0.25">
      <c r="F1428" t="s">
        <v>108</v>
      </c>
      <c r="H1428" t="s">
        <v>108</v>
      </c>
    </row>
    <row r="1429" spans="6:8" x14ac:dyDescent="0.25">
      <c r="F1429" t="s">
        <v>108</v>
      </c>
      <c r="H1429" t="s">
        <v>108</v>
      </c>
    </row>
    <row r="1430" spans="6:8" x14ac:dyDescent="0.25">
      <c r="F1430" t="s">
        <v>108</v>
      </c>
      <c r="H1430" t="s">
        <v>108</v>
      </c>
    </row>
    <row r="1431" spans="6:8" x14ac:dyDescent="0.25">
      <c r="F1431" t="s">
        <v>108</v>
      </c>
      <c r="H1431" t="s">
        <v>108</v>
      </c>
    </row>
    <row r="1432" spans="6:8" x14ac:dyDescent="0.25">
      <c r="F1432" t="s">
        <v>108</v>
      </c>
      <c r="H1432" t="s">
        <v>108</v>
      </c>
    </row>
    <row r="1433" spans="6:8" x14ac:dyDescent="0.25">
      <c r="F1433" t="s">
        <v>108</v>
      </c>
      <c r="H1433" t="s">
        <v>108</v>
      </c>
    </row>
    <row r="1434" spans="6:8" x14ac:dyDescent="0.25">
      <c r="F1434" t="s">
        <v>108</v>
      </c>
      <c r="H1434" t="s">
        <v>108</v>
      </c>
    </row>
    <row r="1435" spans="6:8" x14ac:dyDescent="0.25">
      <c r="F1435" t="s">
        <v>108</v>
      </c>
      <c r="H1435" t="s">
        <v>108</v>
      </c>
    </row>
    <row r="1436" spans="6:8" x14ac:dyDescent="0.25">
      <c r="F1436" t="s">
        <v>108</v>
      </c>
      <c r="H1436" t="s">
        <v>108</v>
      </c>
    </row>
    <row r="1437" spans="6:8" x14ac:dyDescent="0.25">
      <c r="F1437" t="s">
        <v>108</v>
      </c>
      <c r="H1437" t="s">
        <v>108</v>
      </c>
    </row>
    <row r="1438" spans="6:8" x14ac:dyDescent="0.25">
      <c r="F1438" t="s">
        <v>108</v>
      </c>
      <c r="H1438" t="s">
        <v>108</v>
      </c>
    </row>
    <row r="1439" spans="6:8" x14ac:dyDescent="0.25">
      <c r="F1439" t="s">
        <v>108</v>
      </c>
      <c r="H1439" t="s">
        <v>108</v>
      </c>
    </row>
    <row r="1440" spans="6:8" x14ac:dyDescent="0.25">
      <c r="F1440" t="s">
        <v>108</v>
      </c>
      <c r="H1440" t="s">
        <v>108</v>
      </c>
    </row>
    <row r="1441" spans="6:8" x14ac:dyDescent="0.25">
      <c r="F1441" t="s">
        <v>108</v>
      </c>
      <c r="H1441" t="s">
        <v>108</v>
      </c>
    </row>
    <row r="1442" spans="6:8" x14ac:dyDescent="0.25">
      <c r="F1442" t="s">
        <v>108</v>
      </c>
      <c r="H1442" t="s">
        <v>108</v>
      </c>
    </row>
    <row r="1443" spans="6:8" x14ac:dyDescent="0.25">
      <c r="F1443" t="s">
        <v>108</v>
      </c>
      <c r="H1443" t="s">
        <v>108</v>
      </c>
    </row>
    <row r="1444" spans="6:8" x14ac:dyDescent="0.25">
      <c r="F1444" t="s">
        <v>108</v>
      </c>
      <c r="H1444" t="s">
        <v>108</v>
      </c>
    </row>
    <row r="1445" spans="6:8" x14ac:dyDescent="0.25">
      <c r="F1445" t="s">
        <v>108</v>
      </c>
      <c r="H1445" t="s">
        <v>108</v>
      </c>
    </row>
    <row r="1446" spans="6:8" x14ac:dyDescent="0.25">
      <c r="F1446" t="s">
        <v>108</v>
      </c>
      <c r="H1446" t="s">
        <v>108</v>
      </c>
    </row>
    <row r="1447" spans="6:8" x14ac:dyDescent="0.25">
      <c r="F1447" t="s">
        <v>108</v>
      </c>
      <c r="H1447" t="s">
        <v>108</v>
      </c>
    </row>
    <row r="1448" spans="6:8" x14ac:dyDescent="0.25">
      <c r="F1448" t="s">
        <v>108</v>
      </c>
      <c r="H1448" t="s">
        <v>108</v>
      </c>
    </row>
    <row r="1449" spans="6:8" x14ac:dyDescent="0.25">
      <c r="F1449" t="s">
        <v>108</v>
      </c>
      <c r="H1449" t="s">
        <v>108</v>
      </c>
    </row>
    <row r="1450" spans="6:8" x14ac:dyDescent="0.25">
      <c r="F1450" t="s">
        <v>108</v>
      </c>
      <c r="H1450" t="s">
        <v>108</v>
      </c>
    </row>
    <row r="1451" spans="6:8" x14ac:dyDescent="0.25">
      <c r="F1451" t="s">
        <v>108</v>
      </c>
      <c r="H1451" t="s">
        <v>108</v>
      </c>
    </row>
    <row r="1452" spans="6:8" x14ac:dyDescent="0.25">
      <c r="F1452" t="s">
        <v>108</v>
      </c>
      <c r="H1452" t="s">
        <v>108</v>
      </c>
    </row>
    <row r="1453" spans="6:8" x14ac:dyDescent="0.25">
      <c r="F1453" t="s">
        <v>108</v>
      </c>
      <c r="H1453" t="s">
        <v>108</v>
      </c>
    </row>
    <row r="1454" spans="6:8" x14ac:dyDescent="0.25">
      <c r="F1454" t="s">
        <v>108</v>
      </c>
      <c r="H1454" t="s">
        <v>108</v>
      </c>
    </row>
    <row r="1455" spans="6:8" x14ac:dyDescent="0.25">
      <c r="F1455" t="s">
        <v>108</v>
      </c>
      <c r="H1455" t="s">
        <v>108</v>
      </c>
    </row>
    <row r="1456" spans="6:8" x14ac:dyDescent="0.25">
      <c r="F1456" t="s">
        <v>108</v>
      </c>
      <c r="H1456" t="s">
        <v>108</v>
      </c>
    </row>
    <row r="1457" spans="6:8" x14ac:dyDescent="0.25">
      <c r="F1457" t="s">
        <v>108</v>
      </c>
      <c r="H1457" t="s">
        <v>108</v>
      </c>
    </row>
    <row r="1458" spans="6:8" x14ac:dyDescent="0.25">
      <c r="F1458" t="s">
        <v>108</v>
      </c>
      <c r="H1458" t="s">
        <v>108</v>
      </c>
    </row>
    <row r="1459" spans="6:8" x14ac:dyDescent="0.25">
      <c r="F1459" t="s">
        <v>108</v>
      </c>
      <c r="H1459" t="s">
        <v>108</v>
      </c>
    </row>
    <row r="1460" spans="6:8" x14ac:dyDescent="0.25">
      <c r="F1460" t="s">
        <v>108</v>
      </c>
      <c r="H1460" t="s">
        <v>108</v>
      </c>
    </row>
    <row r="1461" spans="6:8" x14ac:dyDescent="0.25">
      <c r="F1461" t="s">
        <v>108</v>
      </c>
      <c r="H1461" t="s">
        <v>108</v>
      </c>
    </row>
    <row r="1462" spans="6:8" x14ac:dyDescent="0.25">
      <c r="F1462" t="s">
        <v>108</v>
      </c>
      <c r="H1462" t="s">
        <v>108</v>
      </c>
    </row>
    <row r="1463" spans="6:8" x14ac:dyDescent="0.25">
      <c r="F1463" t="s">
        <v>108</v>
      </c>
      <c r="H1463" t="s">
        <v>108</v>
      </c>
    </row>
    <row r="1464" spans="6:8" x14ac:dyDescent="0.25">
      <c r="F1464" t="s">
        <v>108</v>
      </c>
      <c r="H1464" t="s">
        <v>108</v>
      </c>
    </row>
    <row r="1465" spans="6:8" x14ac:dyDescent="0.25">
      <c r="F1465" t="s">
        <v>108</v>
      </c>
      <c r="H1465" t="s">
        <v>108</v>
      </c>
    </row>
    <row r="1466" spans="6:8" x14ac:dyDescent="0.25">
      <c r="F1466" t="s">
        <v>108</v>
      </c>
      <c r="H1466" t="s">
        <v>108</v>
      </c>
    </row>
    <row r="1467" spans="6:8" x14ac:dyDescent="0.25">
      <c r="F1467" t="s">
        <v>108</v>
      </c>
      <c r="H1467" t="s">
        <v>108</v>
      </c>
    </row>
    <row r="1468" spans="6:8" x14ac:dyDescent="0.25">
      <c r="F1468" t="s">
        <v>108</v>
      </c>
      <c r="H1468" t="s">
        <v>108</v>
      </c>
    </row>
    <row r="1469" spans="6:8" x14ac:dyDescent="0.25">
      <c r="F1469" t="s">
        <v>108</v>
      </c>
      <c r="H1469" t="s">
        <v>108</v>
      </c>
    </row>
    <row r="1470" spans="6:8" x14ac:dyDescent="0.25">
      <c r="F1470" t="s">
        <v>108</v>
      </c>
      <c r="H1470" t="s">
        <v>108</v>
      </c>
    </row>
    <row r="1471" spans="6:8" x14ac:dyDescent="0.25">
      <c r="F1471" t="s">
        <v>108</v>
      </c>
      <c r="H1471" t="s">
        <v>108</v>
      </c>
    </row>
    <row r="1472" spans="6:8" x14ac:dyDescent="0.25">
      <c r="F1472" t="s">
        <v>108</v>
      </c>
      <c r="H1472" t="s">
        <v>108</v>
      </c>
    </row>
    <row r="1473" spans="6:8" x14ac:dyDescent="0.25">
      <c r="F1473" t="s">
        <v>108</v>
      </c>
      <c r="H1473" t="s">
        <v>108</v>
      </c>
    </row>
    <row r="1474" spans="6:8" x14ac:dyDescent="0.25">
      <c r="F1474" t="s">
        <v>108</v>
      </c>
      <c r="H1474" t="s">
        <v>108</v>
      </c>
    </row>
    <row r="1475" spans="6:8" x14ac:dyDescent="0.25">
      <c r="F1475" t="s">
        <v>108</v>
      </c>
      <c r="H1475" t="s">
        <v>108</v>
      </c>
    </row>
    <row r="1476" spans="6:8" x14ac:dyDescent="0.25">
      <c r="F1476" t="s">
        <v>108</v>
      </c>
      <c r="H1476" t="s">
        <v>108</v>
      </c>
    </row>
    <row r="1477" spans="6:8" x14ac:dyDescent="0.25">
      <c r="F1477" t="s">
        <v>108</v>
      </c>
      <c r="H1477" t="s">
        <v>108</v>
      </c>
    </row>
    <row r="1478" spans="6:8" x14ac:dyDescent="0.25">
      <c r="F1478" t="s">
        <v>108</v>
      </c>
      <c r="H1478" t="s">
        <v>108</v>
      </c>
    </row>
    <row r="1479" spans="6:8" x14ac:dyDescent="0.25">
      <c r="F1479" t="s">
        <v>108</v>
      </c>
      <c r="H1479" t="s">
        <v>108</v>
      </c>
    </row>
    <row r="1480" spans="6:8" x14ac:dyDescent="0.25">
      <c r="F1480" t="s">
        <v>108</v>
      </c>
      <c r="H1480" t="s">
        <v>108</v>
      </c>
    </row>
    <row r="1481" spans="6:8" x14ac:dyDescent="0.25">
      <c r="F1481" t="s">
        <v>108</v>
      </c>
      <c r="H1481" t="s">
        <v>108</v>
      </c>
    </row>
    <row r="1482" spans="6:8" x14ac:dyDescent="0.25">
      <c r="F1482" t="s">
        <v>108</v>
      </c>
      <c r="H1482" t="s">
        <v>108</v>
      </c>
    </row>
    <row r="1483" spans="6:8" x14ac:dyDescent="0.25">
      <c r="F1483" t="s">
        <v>108</v>
      </c>
      <c r="H1483" t="s">
        <v>108</v>
      </c>
    </row>
    <row r="1484" spans="6:8" x14ac:dyDescent="0.25">
      <c r="F1484" t="s">
        <v>108</v>
      </c>
      <c r="H1484" t="s">
        <v>108</v>
      </c>
    </row>
    <row r="1485" spans="6:8" x14ac:dyDescent="0.25">
      <c r="F1485" t="s">
        <v>108</v>
      </c>
      <c r="H1485" t="s">
        <v>108</v>
      </c>
    </row>
    <row r="1486" spans="6:8" x14ac:dyDescent="0.25">
      <c r="F1486" t="s">
        <v>108</v>
      </c>
      <c r="H1486" t="s">
        <v>108</v>
      </c>
    </row>
    <row r="1487" spans="6:8" x14ac:dyDescent="0.25">
      <c r="F1487" t="s">
        <v>108</v>
      </c>
      <c r="H1487" t="s">
        <v>108</v>
      </c>
    </row>
    <row r="1488" spans="6:8" x14ac:dyDescent="0.25">
      <c r="F1488" t="s">
        <v>108</v>
      </c>
      <c r="H1488" t="s">
        <v>108</v>
      </c>
    </row>
    <row r="1489" spans="6:8" x14ac:dyDescent="0.25">
      <c r="F1489" t="s">
        <v>108</v>
      </c>
      <c r="H1489" t="s">
        <v>108</v>
      </c>
    </row>
    <row r="1490" spans="6:8" x14ac:dyDescent="0.25">
      <c r="F1490" t="s">
        <v>108</v>
      </c>
      <c r="H1490" t="s">
        <v>108</v>
      </c>
    </row>
    <row r="1491" spans="6:8" x14ac:dyDescent="0.25">
      <c r="F1491" t="s">
        <v>108</v>
      </c>
      <c r="H1491" t="s">
        <v>108</v>
      </c>
    </row>
    <row r="1492" spans="6:8" x14ac:dyDescent="0.25">
      <c r="F1492" t="s">
        <v>108</v>
      </c>
      <c r="H1492" t="s">
        <v>108</v>
      </c>
    </row>
    <row r="1493" spans="6:8" x14ac:dyDescent="0.25">
      <c r="F1493" t="s">
        <v>108</v>
      </c>
      <c r="H1493" t="s">
        <v>108</v>
      </c>
    </row>
    <row r="1494" spans="6:8" x14ac:dyDescent="0.25">
      <c r="F1494" t="s">
        <v>108</v>
      </c>
      <c r="H1494" t="s">
        <v>108</v>
      </c>
    </row>
    <row r="1495" spans="6:8" x14ac:dyDescent="0.25">
      <c r="F1495" t="s">
        <v>108</v>
      </c>
      <c r="H1495" t="s">
        <v>108</v>
      </c>
    </row>
    <row r="1496" spans="6:8" x14ac:dyDescent="0.25">
      <c r="F1496" t="s">
        <v>108</v>
      </c>
      <c r="H1496" t="s">
        <v>108</v>
      </c>
    </row>
    <row r="1497" spans="6:8" x14ac:dyDescent="0.25">
      <c r="F1497" t="s">
        <v>108</v>
      </c>
      <c r="H1497" t="s">
        <v>108</v>
      </c>
    </row>
    <row r="1498" spans="6:8" x14ac:dyDescent="0.25">
      <c r="F1498" t="s">
        <v>108</v>
      </c>
      <c r="H1498" t="s">
        <v>108</v>
      </c>
    </row>
    <row r="1499" spans="6:8" x14ac:dyDescent="0.25">
      <c r="F1499" t="s">
        <v>108</v>
      </c>
      <c r="H1499" t="s">
        <v>108</v>
      </c>
    </row>
    <row r="1500" spans="6:8" x14ac:dyDescent="0.25">
      <c r="F1500" t="s">
        <v>108</v>
      </c>
      <c r="H1500" t="s">
        <v>108</v>
      </c>
    </row>
    <row r="1501" spans="6:8" x14ac:dyDescent="0.25">
      <c r="F1501" t="s">
        <v>108</v>
      </c>
      <c r="H1501" t="s">
        <v>108</v>
      </c>
    </row>
    <row r="1502" spans="6:8" x14ac:dyDescent="0.25">
      <c r="F1502" t="s">
        <v>108</v>
      </c>
      <c r="H1502" t="s">
        <v>108</v>
      </c>
    </row>
    <row r="1503" spans="6:8" x14ac:dyDescent="0.25">
      <c r="F1503" t="s">
        <v>108</v>
      </c>
      <c r="H1503" t="s">
        <v>108</v>
      </c>
    </row>
    <row r="1504" spans="6:8" x14ac:dyDescent="0.25">
      <c r="F1504" t="s">
        <v>108</v>
      </c>
      <c r="H1504" t="s">
        <v>108</v>
      </c>
    </row>
    <row r="1505" spans="6:8" x14ac:dyDescent="0.25">
      <c r="F1505" t="s">
        <v>108</v>
      </c>
      <c r="H1505" t="s">
        <v>108</v>
      </c>
    </row>
    <row r="1506" spans="6:8" x14ac:dyDescent="0.25">
      <c r="F1506" t="s">
        <v>108</v>
      </c>
      <c r="H1506" t="s">
        <v>108</v>
      </c>
    </row>
    <row r="1507" spans="6:8" x14ac:dyDescent="0.25">
      <c r="F1507" t="s">
        <v>108</v>
      </c>
      <c r="H1507" t="s">
        <v>108</v>
      </c>
    </row>
    <row r="1508" spans="6:8" x14ac:dyDescent="0.25">
      <c r="F1508" t="s">
        <v>108</v>
      </c>
      <c r="H1508" t="s">
        <v>108</v>
      </c>
    </row>
    <row r="1509" spans="6:8" x14ac:dyDescent="0.25">
      <c r="F1509" t="s">
        <v>108</v>
      </c>
      <c r="H1509" t="s">
        <v>108</v>
      </c>
    </row>
    <row r="1510" spans="6:8" x14ac:dyDescent="0.25">
      <c r="F1510" t="s">
        <v>108</v>
      </c>
      <c r="H1510" t="s">
        <v>108</v>
      </c>
    </row>
    <row r="1511" spans="6:8" x14ac:dyDescent="0.25">
      <c r="F1511" t="s">
        <v>108</v>
      </c>
      <c r="H1511" t="s">
        <v>108</v>
      </c>
    </row>
    <row r="1512" spans="6:8" x14ac:dyDescent="0.25">
      <c r="F1512" t="s">
        <v>108</v>
      </c>
      <c r="H1512" t="s">
        <v>108</v>
      </c>
    </row>
    <row r="1513" spans="6:8" x14ac:dyDescent="0.25">
      <c r="F1513" t="s">
        <v>108</v>
      </c>
      <c r="H1513" t="s">
        <v>108</v>
      </c>
    </row>
    <row r="1514" spans="6:8" x14ac:dyDescent="0.25">
      <c r="F1514" t="s">
        <v>108</v>
      </c>
      <c r="H1514" t="s">
        <v>108</v>
      </c>
    </row>
    <row r="1515" spans="6:8" x14ac:dyDescent="0.25">
      <c r="F1515" t="s">
        <v>108</v>
      </c>
      <c r="H1515" t="s">
        <v>108</v>
      </c>
    </row>
    <row r="1516" spans="6:8" x14ac:dyDescent="0.25">
      <c r="F1516" t="s">
        <v>108</v>
      </c>
      <c r="H1516" t="s">
        <v>108</v>
      </c>
    </row>
    <row r="1517" spans="6:8" x14ac:dyDescent="0.25">
      <c r="F1517" t="s">
        <v>108</v>
      </c>
      <c r="H1517" t="s">
        <v>108</v>
      </c>
    </row>
    <row r="1518" spans="6:8" x14ac:dyDescent="0.25">
      <c r="F1518" t="s">
        <v>108</v>
      </c>
      <c r="H1518" t="s">
        <v>108</v>
      </c>
    </row>
    <row r="1519" spans="6:8" x14ac:dyDescent="0.25">
      <c r="F1519" t="s">
        <v>108</v>
      </c>
      <c r="H1519" t="s">
        <v>108</v>
      </c>
    </row>
    <row r="1520" spans="6:8" x14ac:dyDescent="0.25">
      <c r="F1520" t="s">
        <v>108</v>
      </c>
      <c r="H1520" t="s">
        <v>108</v>
      </c>
    </row>
    <row r="1521" spans="6:8" x14ac:dyDescent="0.25">
      <c r="F1521" t="s">
        <v>108</v>
      </c>
      <c r="H1521" t="s">
        <v>108</v>
      </c>
    </row>
    <row r="1522" spans="6:8" x14ac:dyDescent="0.25">
      <c r="F1522" t="s">
        <v>108</v>
      </c>
      <c r="H1522" t="s">
        <v>108</v>
      </c>
    </row>
    <row r="1523" spans="6:8" x14ac:dyDescent="0.25">
      <c r="F1523" t="s">
        <v>108</v>
      </c>
      <c r="H1523" t="s">
        <v>108</v>
      </c>
    </row>
    <row r="1524" spans="6:8" x14ac:dyDescent="0.25">
      <c r="F1524" t="s">
        <v>108</v>
      </c>
      <c r="H1524" t="s">
        <v>108</v>
      </c>
    </row>
    <row r="1525" spans="6:8" x14ac:dyDescent="0.25">
      <c r="F1525" t="s">
        <v>108</v>
      </c>
      <c r="H1525" t="s">
        <v>108</v>
      </c>
    </row>
    <row r="1526" spans="6:8" x14ac:dyDescent="0.25">
      <c r="F1526" t="s">
        <v>108</v>
      </c>
      <c r="H1526" t="s">
        <v>108</v>
      </c>
    </row>
    <row r="1527" spans="6:8" x14ac:dyDescent="0.25">
      <c r="F1527" t="s">
        <v>108</v>
      </c>
      <c r="H1527" t="s">
        <v>108</v>
      </c>
    </row>
    <row r="1528" spans="6:8" x14ac:dyDescent="0.25">
      <c r="F1528" t="s">
        <v>108</v>
      </c>
      <c r="H1528" t="s">
        <v>108</v>
      </c>
    </row>
    <row r="1529" spans="6:8" x14ac:dyDescent="0.25">
      <c r="F1529" t="s">
        <v>108</v>
      </c>
      <c r="H1529" t="s">
        <v>108</v>
      </c>
    </row>
    <row r="1530" spans="6:8" x14ac:dyDescent="0.25">
      <c r="F1530" t="s">
        <v>108</v>
      </c>
      <c r="H1530" t="s">
        <v>108</v>
      </c>
    </row>
    <row r="1531" spans="6:8" x14ac:dyDescent="0.25">
      <c r="F1531" t="s">
        <v>108</v>
      </c>
      <c r="H1531" t="s">
        <v>108</v>
      </c>
    </row>
    <row r="1532" spans="6:8" x14ac:dyDescent="0.25">
      <c r="F1532" t="s">
        <v>108</v>
      </c>
      <c r="H1532" t="s">
        <v>108</v>
      </c>
    </row>
    <row r="1533" spans="6:8" x14ac:dyDescent="0.25">
      <c r="F1533" t="s">
        <v>108</v>
      </c>
      <c r="H1533" t="s">
        <v>108</v>
      </c>
    </row>
    <row r="1534" spans="6:8" x14ac:dyDescent="0.25">
      <c r="F1534" t="s">
        <v>108</v>
      </c>
      <c r="H1534" t="s">
        <v>108</v>
      </c>
    </row>
    <row r="1535" spans="6:8" x14ac:dyDescent="0.25">
      <c r="F1535" t="s">
        <v>108</v>
      </c>
      <c r="H1535" t="s">
        <v>108</v>
      </c>
    </row>
    <row r="1536" spans="6:8" x14ac:dyDescent="0.25">
      <c r="F1536" t="s">
        <v>108</v>
      </c>
      <c r="H1536" t="s">
        <v>108</v>
      </c>
    </row>
    <row r="1537" spans="6:8" x14ac:dyDescent="0.25">
      <c r="F1537" t="s">
        <v>108</v>
      </c>
      <c r="H1537" t="s">
        <v>108</v>
      </c>
    </row>
    <row r="1538" spans="6:8" x14ac:dyDescent="0.25">
      <c r="F1538" t="s">
        <v>108</v>
      </c>
      <c r="H1538" t="s">
        <v>108</v>
      </c>
    </row>
    <row r="1539" spans="6:8" x14ac:dyDescent="0.25">
      <c r="F1539" t="s">
        <v>108</v>
      </c>
      <c r="H1539" t="s">
        <v>108</v>
      </c>
    </row>
    <row r="1540" spans="6:8" x14ac:dyDescent="0.25">
      <c r="F1540" t="s">
        <v>108</v>
      </c>
      <c r="H1540" t="s">
        <v>108</v>
      </c>
    </row>
    <row r="1541" spans="6:8" x14ac:dyDescent="0.25">
      <c r="F1541" t="s">
        <v>108</v>
      </c>
      <c r="H1541" t="s">
        <v>108</v>
      </c>
    </row>
    <row r="1542" spans="6:8" x14ac:dyDescent="0.25">
      <c r="F1542" t="s">
        <v>108</v>
      </c>
      <c r="H1542" t="s">
        <v>108</v>
      </c>
    </row>
    <row r="1543" spans="6:8" x14ac:dyDescent="0.25">
      <c r="F1543" t="s">
        <v>108</v>
      </c>
      <c r="H1543" t="s">
        <v>108</v>
      </c>
    </row>
    <row r="1544" spans="6:8" x14ac:dyDescent="0.25">
      <c r="F1544" t="s">
        <v>108</v>
      </c>
      <c r="H1544" t="s">
        <v>108</v>
      </c>
    </row>
    <row r="1545" spans="6:8" x14ac:dyDescent="0.25">
      <c r="F1545" t="s">
        <v>108</v>
      </c>
      <c r="H1545" t="s">
        <v>108</v>
      </c>
    </row>
    <row r="1546" spans="6:8" x14ac:dyDescent="0.25">
      <c r="F1546" t="s">
        <v>108</v>
      </c>
      <c r="H1546" t="s">
        <v>108</v>
      </c>
    </row>
    <row r="1547" spans="6:8" x14ac:dyDescent="0.25">
      <c r="F1547" t="s">
        <v>108</v>
      </c>
      <c r="H1547" t="s">
        <v>108</v>
      </c>
    </row>
    <row r="1548" spans="6:8" x14ac:dyDescent="0.25">
      <c r="F1548" t="s">
        <v>108</v>
      </c>
      <c r="H1548" t="s">
        <v>108</v>
      </c>
    </row>
    <row r="1549" spans="6:8" x14ac:dyDescent="0.25">
      <c r="F1549" t="s">
        <v>108</v>
      </c>
      <c r="H1549" t="s">
        <v>108</v>
      </c>
    </row>
    <row r="1550" spans="6:8" x14ac:dyDescent="0.25">
      <c r="F1550" t="s">
        <v>108</v>
      </c>
      <c r="H1550" t="s">
        <v>108</v>
      </c>
    </row>
    <row r="1551" spans="6:8" x14ac:dyDescent="0.25">
      <c r="F1551" t="s">
        <v>108</v>
      </c>
      <c r="H1551" t="s">
        <v>108</v>
      </c>
    </row>
    <row r="1552" spans="6:8" x14ac:dyDescent="0.25">
      <c r="F1552" t="s">
        <v>108</v>
      </c>
      <c r="H1552" t="s">
        <v>108</v>
      </c>
    </row>
    <row r="1553" spans="6:8" x14ac:dyDescent="0.25">
      <c r="F1553" t="s">
        <v>108</v>
      </c>
      <c r="H1553" t="s">
        <v>108</v>
      </c>
    </row>
    <row r="1554" spans="6:8" x14ac:dyDescent="0.25">
      <c r="F1554" t="s">
        <v>108</v>
      </c>
      <c r="H1554" t="s">
        <v>108</v>
      </c>
    </row>
    <row r="1555" spans="6:8" x14ac:dyDescent="0.25">
      <c r="F1555" t="s">
        <v>108</v>
      </c>
      <c r="H1555" t="s">
        <v>108</v>
      </c>
    </row>
    <row r="1556" spans="6:8" x14ac:dyDescent="0.25">
      <c r="F1556" t="s">
        <v>108</v>
      </c>
      <c r="H1556" t="s">
        <v>108</v>
      </c>
    </row>
    <row r="1557" spans="6:8" x14ac:dyDescent="0.25">
      <c r="F1557" t="s">
        <v>108</v>
      </c>
      <c r="H1557" t="s">
        <v>108</v>
      </c>
    </row>
    <row r="1558" spans="6:8" x14ac:dyDescent="0.25">
      <c r="F1558" t="s">
        <v>108</v>
      </c>
      <c r="H1558" t="s">
        <v>108</v>
      </c>
    </row>
    <row r="1559" spans="6:8" x14ac:dyDescent="0.25">
      <c r="F1559" t="s">
        <v>108</v>
      </c>
      <c r="H1559" t="s">
        <v>108</v>
      </c>
    </row>
    <row r="1560" spans="6:8" x14ac:dyDescent="0.25">
      <c r="F1560" t="s">
        <v>108</v>
      </c>
      <c r="H1560" t="s">
        <v>108</v>
      </c>
    </row>
    <row r="1561" spans="6:8" x14ac:dyDescent="0.25">
      <c r="F1561" t="s">
        <v>108</v>
      </c>
      <c r="H1561" t="s">
        <v>108</v>
      </c>
    </row>
    <row r="1562" spans="6:8" x14ac:dyDescent="0.25">
      <c r="F1562" t="s">
        <v>108</v>
      </c>
      <c r="H1562" t="s">
        <v>108</v>
      </c>
    </row>
    <row r="1563" spans="6:8" x14ac:dyDescent="0.25">
      <c r="F1563" t="s">
        <v>108</v>
      </c>
    </row>
    <row r="1564" spans="6:8" x14ac:dyDescent="0.25">
      <c r="F1564" t="s">
        <v>108</v>
      </c>
    </row>
    <row r="1565" spans="6:8" x14ac:dyDescent="0.25">
      <c r="F1565" t="s">
        <v>108</v>
      </c>
    </row>
    <row r="1566" spans="6:8" x14ac:dyDescent="0.25">
      <c r="F1566" t="s">
        <v>108</v>
      </c>
    </row>
    <row r="1567" spans="6:8" x14ac:dyDescent="0.25">
      <c r="F1567" t="s">
        <v>108</v>
      </c>
    </row>
    <row r="1568" spans="6:8" x14ac:dyDescent="0.25">
      <c r="F1568" t="s">
        <v>108</v>
      </c>
    </row>
    <row r="1569" spans="6:6" x14ac:dyDescent="0.25">
      <c r="F1569" t="s">
        <v>108</v>
      </c>
    </row>
    <row r="1570" spans="6:6" x14ac:dyDescent="0.25">
      <c r="F1570" t="s">
        <v>108</v>
      </c>
    </row>
    <row r="1571" spans="6:6" x14ac:dyDescent="0.25">
      <c r="F1571" t="s">
        <v>108</v>
      </c>
    </row>
    <row r="1572" spans="6:6" x14ac:dyDescent="0.25">
      <c r="F1572" t="s">
        <v>108</v>
      </c>
    </row>
    <row r="1573" spans="6:6" x14ac:dyDescent="0.25">
      <c r="F1573" t="s">
        <v>108</v>
      </c>
    </row>
    <row r="1574" spans="6:6" x14ac:dyDescent="0.25">
      <c r="F1574" t="s">
        <v>108</v>
      </c>
    </row>
    <row r="1575" spans="6:6" x14ac:dyDescent="0.25">
      <c r="F1575" t="s">
        <v>108</v>
      </c>
    </row>
    <row r="1576" spans="6:6" x14ac:dyDescent="0.25">
      <c r="F1576" t="s">
        <v>108</v>
      </c>
    </row>
    <row r="1577" spans="6:6" x14ac:dyDescent="0.25">
      <c r="F1577" t="s">
        <v>108</v>
      </c>
    </row>
    <row r="1578" spans="6:6" x14ac:dyDescent="0.25">
      <c r="F1578" t="s">
        <v>108</v>
      </c>
    </row>
    <row r="1579" spans="6:6" x14ac:dyDescent="0.25">
      <c r="F1579" t="s">
        <v>108</v>
      </c>
    </row>
    <row r="1580" spans="6:6" x14ac:dyDescent="0.25">
      <c r="F1580" t="s">
        <v>108</v>
      </c>
    </row>
    <row r="1581" spans="6:6" x14ac:dyDescent="0.25">
      <c r="F1581" t="s">
        <v>108</v>
      </c>
    </row>
    <row r="1582" spans="6:6" x14ac:dyDescent="0.25">
      <c r="F1582" t="s">
        <v>108</v>
      </c>
    </row>
    <row r="1583" spans="6:6" x14ac:dyDescent="0.25">
      <c r="F1583" t="s">
        <v>108</v>
      </c>
    </row>
    <row r="1584" spans="6:6" x14ac:dyDescent="0.25">
      <c r="F1584" t="s">
        <v>108</v>
      </c>
    </row>
    <row r="1585" spans="6:6" x14ac:dyDescent="0.25">
      <c r="F1585" t="s">
        <v>108</v>
      </c>
    </row>
    <row r="1586" spans="6:6" x14ac:dyDescent="0.25">
      <c r="F1586" t="s">
        <v>108</v>
      </c>
    </row>
    <row r="1587" spans="6:6" x14ac:dyDescent="0.25">
      <c r="F1587" t="s">
        <v>108</v>
      </c>
    </row>
    <row r="1588" spans="6:6" x14ac:dyDescent="0.25">
      <c r="F1588" t="s">
        <v>108</v>
      </c>
    </row>
    <row r="1589" spans="6:6" x14ac:dyDescent="0.25">
      <c r="F1589" t="s">
        <v>108</v>
      </c>
    </row>
    <row r="1590" spans="6:6" x14ac:dyDescent="0.25">
      <c r="F1590" t="s">
        <v>108</v>
      </c>
    </row>
    <row r="1591" spans="6:6" x14ac:dyDescent="0.25">
      <c r="F1591" t="s">
        <v>108</v>
      </c>
    </row>
    <row r="1592" spans="6:6" x14ac:dyDescent="0.25">
      <c r="F1592" t="s">
        <v>108</v>
      </c>
    </row>
    <row r="1593" spans="6:6" x14ac:dyDescent="0.25">
      <c r="F1593" t="s">
        <v>108</v>
      </c>
    </row>
    <row r="1594" spans="6:6" x14ac:dyDescent="0.25">
      <c r="F1594" t="s">
        <v>108</v>
      </c>
    </row>
    <row r="1595" spans="6:6" x14ac:dyDescent="0.25">
      <c r="F1595" t="s">
        <v>108</v>
      </c>
    </row>
    <row r="1596" spans="6:6" x14ac:dyDescent="0.25">
      <c r="F1596" t="s">
        <v>108</v>
      </c>
    </row>
    <row r="1597" spans="6:6" x14ac:dyDescent="0.25">
      <c r="F1597" t="s">
        <v>108</v>
      </c>
    </row>
    <row r="1598" spans="6:6" x14ac:dyDescent="0.25">
      <c r="F1598" t="s">
        <v>108</v>
      </c>
    </row>
    <row r="1599" spans="6:6" x14ac:dyDescent="0.25">
      <c r="F1599" t="s">
        <v>108</v>
      </c>
    </row>
    <row r="1600" spans="6:6" x14ac:dyDescent="0.25">
      <c r="F1600" t="s">
        <v>108</v>
      </c>
    </row>
    <row r="1601" spans="6:6" x14ac:dyDescent="0.25">
      <c r="F1601" t="s">
        <v>108</v>
      </c>
    </row>
    <row r="1602" spans="6:6" x14ac:dyDescent="0.25">
      <c r="F1602" t="s">
        <v>108</v>
      </c>
    </row>
    <row r="1603" spans="6:6" x14ac:dyDescent="0.25">
      <c r="F1603" t="s">
        <v>108</v>
      </c>
    </row>
    <row r="1604" spans="6:6" x14ac:dyDescent="0.25">
      <c r="F1604" t="s">
        <v>108</v>
      </c>
    </row>
    <row r="1605" spans="6:6" x14ac:dyDescent="0.25">
      <c r="F1605" t="s">
        <v>108</v>
      </c>
    </row>
    <row r="1606" spans="6:6" x14ac:dyDescent="0.25">
      <c r="F1606" t="s">
        <v>108</v>
      </c>
    </row>
    <row r="1607" spans="6:6" x14ac:dyDescent="0.25">
      <c r="F1607" t="s">
        <v>108</v>
      </c>
    </row>
    <row r="1608" spans="6:6" x14ac:dyDescent="0.25">
      <c r="F1608" t="s">
        <v>108</v>
      </c>
    </row>
    <row r="1609" spans="6:6" x14ac:dyDescent="0.25">
      <c r="F1609" t="s">
        <v>108</v>
      </c>
    </row>
    <row r="1610" spans="6:6" x14ac:dyDescent="0.25">
      <c r="F1610" t="s">
        <v>108</v>
      </c>
    </row>
    <row r="1611" spans="6:6" x14ac:dyDescent="0.25">
      <c r="F1611" t="s">
        <v>108</v>
      </c>
    </row>
    <row r="1612" spans="6:6" x14ac:dyDescent="0.25">
      <c r="F1612" t="s">
        <v>108</v>
      </c>
    </row>
    <row r="1613" spans="6:6" x14ac:dyDescent="0.25">
      <c r="F1613" t="s">
        <v>108</v>
      </c>
    </row>
    <row r="1614" spans="6:6" x14ac:dyDescent="0.25">
      <c r="F1614" t="s">
        <v>108</v>
      </c>
    </row>
    <row r="1615" spans="6:6" x14ac:dyDescent="0.25">
      <c r="F1615" t="s">
        <v>108</v>
      </c>
    </row>
    <row r="1616" spans="6:6" x14ac:dyDescent="0.25">
      <c r="F1616" t="s">
        <v>108</v>
      </c>
    </row>
    <row r="1617" spans="6:6" x14ac:dyDescent="0.25">
      <c r="F1617" t="s">
        <v>108</v>
      </c>
    </row>
    <row r="1618" spans="6:6" x14ac:dyDescent="0.25">
      <c r="F1618" t="s">
        <v>108</v>
      </c>
    </row>
    <row r="1619" spans="6:6" x14ac:dyDescent="0.25">
      <c r="F1619" t="s">
        <v>108</v>
      </c>
    </row>
    <row r="1620" spans="6:6" x14ac:dyDescent="0.25">
      <c r="F1620" t="s">
        <v>108</v>
      </c>
    </row>
    <row r="1621" spans="6:6" x14ac:dyDescent="0.25">
      <c r="F1621" t="s">
        <v>108</v>
      </c>
    </row>
    <row r="1622" spans="6:6" x14ac:dyDescent="0.25">
      <c r="F1622" t="s">
        <v>108</v>
      </c>
    </row>
    <row r="1623" spans="6:6" x14ac:dyDescent="0.25">
      <c r="F1623" t="s">
        <v>108</v>
      </c>
    </row>
    <row r="1624" spans="6:6" x14ac:dyDescent="0.25">
      <c r="F1624" t="s">
        <v>108</v>
      </c>
    </row>
    <row r="1625" spans="6:6" x14ac:dyDescent="0.25">
      <c r="F1625" t="s">
        <v>108</v>
      </c>
    </row>
    <row r="1626" spans="6:6" x14ac:dyDescent="0.25">
      <c r="F1626" t="s">
        <v>108</v>
      </c>
    </row>
    <row r="1627" spans="6:6" x14ac:dyDescent="0.25">
      <c r="F1627" t="s">
        <v>108</v>
      </c>
    </row>
    <row r="1628" spans="6:6" x14ac:dyDescent="0.25">
      <c r="F1628" t="s">
        <v>108</v>
      </c>
    </row>
    <row r="1629" spans="6:6" x14ac:dyDescent="0.25">
      <c r="F1629" t="s">
        <v>108</v>
      </c>
    </row>
    <row r="1630" spans="6:6" x14ac:dyDescent="0.25">
      <c r="F1630" t="s">
        <v>108</v>
      </c>
    </row>
    <row r="1631" spans="6:6" x14ac:dyDescent="0.25">
      <c r="F1631" t="s">
        <v>108</v>
      </c>
    </row>
    <row r="1632" spans="6:6" x14ac:dyDescent="0.25">
      <c r="F1632" t="s">
        <v>108</v>
      </c>
    </row>
    <row r="1633" spans="6:6" x14ac:dyDescent="0.25">
      <c r="F1633" t="s">
        <v>108</v>
      </c>
    </row>
    <row r="1634" spans="6:6" x14ac:dyDescent="0.25">
      <c r="F1634" t="s">
        <v>108</v>
      </c>
    </row>
    <row r="1635" spans="6:6" x14ac:dyDescent="0.25">
      <c r="F1635" t="s">
        <v>108</v>
      </c>
    </row>
    <row r="1636" spans="6:6" x14ac:dyDescent="0.25">
      <c r="F1636" t="s">
        <v>108</v>
      </c>
    </row>
    <row r="1637" spans="6:6" x14ac:dyDescent="0.25">
      <c r="F1637" t="s">
        <v>108</v>
      </c>
    </row>
    <row r="1638" spans="6:6" x14ac:dyDescent="0.25">
      <c r="F1638" t="s">
        <v>108</v>
      </c>
    </row>
    <row r="1639" spans="6:6" x14ac:dyDescent="0.25">
      <c r="F1639" t="s">
        <v>108</v>
      </c>
    </row>
    <row r="1640" spans="6:6" x14ac:dyDescent="0.25">
      <c r="F1640" t="s">
        <v>108</v>
      </c>
    </row>
    <row r="1641" spans="6:6" x14ac:dyDescent="0.25">
      <c r="F1641" t="s">
        <v>108</v>
      </c>
    </row>
    <row r="1642" spans="6:6" x14ac:dyDescent="0.25">
      <c r="F1642" t="s">
        <v>108</v>
      </c>
    </row>
    <row r="1643" spans="6:6" x14ac:dyDescent="0.25">
      <c r="F1643" t="s">
        <v>108</v>
      </c>
    </row>
    <row r="1644" spans="6:6" x14ac:dyDescent="0.25">
      <c r="F1644" t="s">
        <v>108</v>
      </c>
    </row>
    <row r="1645" spans="6:6" x14ac:dyDescent="0.25">
      <c r="F1645" t="s">
        <v>108</v>
      </c>
    </row>
    <row r="1646" spans="6:6" x14ac:dyDescent="0.25">
      <c r="F1646" t="s">
        <v>108</v>
      </c>
    </row>
    <row r="1647" spans="6:6" x14ac:dyDescent="0.25">
      <c r="F1647" t="s">
        <v>108</v>
      </c>
    </row>
    <row r="1648" spans="6:6" x14ac:dyDescent="0.25">
      <c r="F1648" t="s">
        <v>108</v>
      </c>
    </row>
    <row r="1649" spans="6:6" x14ac:dyDescent="0.25">
      <c r="F1649" t="s">
        <v>108</v>
      </c>
    </row>
    <row r="1650" spans="6:6" x14ac:dyDescent="0.25">
      <c r="F1650" t="s">
        <v>108</v>
      </c>
    </row>
    <row r="1651" spans="6:6" x14ac:dyDescent="0.25">
      <c r="F1651" t="s">
        <v>108</v>
      </c>
    </row>
    <row r="1652" spans="6:6" x14ac:dyDescent="0.25">
      <c r="F1652" t="s">
        <v>108</v>
      </c>
    </row>
    <row r="1653" spans="6:6" x14ac:dyDescent="0.25">
      <c r="F1653" t="s">
        <v>108</v>
      </c>
    </row>
    <row r="1654" spans="6:6" x14ac:dyDescent="0.25">
      <c r="F1654" t="s">
        <v>108</v>
      </c>
    </row>
    <row r="1655" spans="6:6" x14ac:dyDescent="0.25">
      <c r="F1655" t="s">
        <v>108</v>
      </c>
    </row>
    <row r="1656" spans="6:6" x14ac:dyDescent="0.25">
      <c r="F1656" t="s">
        <v>108</v>
      </c>
    </row>
    <row r="1657" spans="6:6" x14ac:dyDescent="0.25">
      <c r="F1657" t="s">
        <v>108</v>
      </c>
    </row>
    <row r="1658" spans="6:6" x14ac:dyDescent="0.25">
      <c r="F1658" t="s">
        <v>108</v>
      </c>
    </row>
    <row r="1659" spans="6:6" x14ac:dyDescent="0.25">
      <c r="F1659" t="s">
        <v>108</v>
      </c>
    </row>
    <row r="1660" spans="6:6" x14ac:dyDescent="0.25">
      <c r="F1660" t="s">
        <v>108</v>
      </c>
    </row>
    <row r="1661" spans="6:6" x14ac:dyDescent="0.25">
      <c r="F1661" t="s">
        <v>108</v>
      </c>
    </row>
    <row r="1662" spans="6:6" x14ac:dyDescent="0.25">
      <c r="F1662" t="s">
        <v>108</v>
      </c>
    </row>
    <row r="1663" spans="6:6" x14ac:dyDescent="0.25">
      <c r="F1663" t="s">
        <v>108</v>
      </c>
    </row>
    <row r="1664" spans="6:6" x14ac:dyDescent="0.25">
      <c r="F1664" t="s">
        <v>108</v>
      </c>
    </row>
    <row r="1665" spans="6:6" x14ac:dyDescent="0.25">
      <c r="F1665" t="s">
        <v>108</v>
      </c>
    </row>
    <row r="1666" spans="6:6" x14ac:dyDescent="0.25">
      <c r="F1666" t="s">
        <v>108</v>
      </c>
    </row>
    <row r="1667" spans="6:6" x14ac:dyDescent="0.25">
      <c r="F1667" t="s">
        <v>108</v>
      </c>
    </row>
    <row r="1668" spans="6:6" x14ac:dyDescent="0.25">
      <c r="F1668" t="s">
        <v>108</v>
      </c>
    </row>
    <row r="1669" spans="6:6" x14ac:dyDescent="0.25">
      <c r="F1669" t="s">
        <v>108</v>
      </c>
    </row>
    <row r="1670" spans="6:6" x14ac:dyDescent="0.25">
      <c r="F1670" t="s">
        <v>108</v>
      </c>
    </row>
    <row r="1671" spans="6:6" x14ac:dyDescent="0.25">
      <c r="F1671" t="s">
        <v>108</v>
      </c>
    </row>
    <row r="1672" spans="6:6" x14ac:dyDescent="0.25">
      <c r="F1672" t="s">
        <v>108</v>
      </c>
    </row>
    <row r="1673" spans="6:6" x14ac:dyDescent="0.25">
      <c r="F1673" t="s">
        <v>108</v>
      </c>
    </row>
    <row r="1674" spans="6:6" x14ac:dyDescent="0.25">
      <c r="F1674" t="s">
        <v>108</v>
      </c>
    </row>
    <row r="1675" spans="6:6" x14ac:dyDescent="0.25">
      <c r="F1675" t="s">
        <v>108</v>
      </c>
    </row>
    <row r="1676" spans="6:6" x14ac:dyDescent="0.25">
      <c r="F1676" t="s">
        <v>108</v>
      </c>
    </row>
    <row r="1677" spans="6:6" x14ac:dyDescent="0.25">
      <c r="F1677" t="s">
        <v>108</v>
      </c>
    </row>
    <row r="1678" spans="6:6" x14ac:dyDescent="0.25">
      <c r="F1678" t="s">
        <v>108</v>
      </c>
    </row>
    <row r="1679" spans="6:6" x14ac:dyDescent="0.25">
      <c r="F1679" t="s">
        <v>108</v>
      </c>
    </row>
    <row r="1680" spans="6:6" x14ac:dyDescent="0.25">
      <c r="F1680" t="s">
        <v>108</v>
      </c>
    </row>
    <row r="1681" spans="6:6" x14ac:dyDescent="0.25">
      <c r="F1681" t="s">
        <v>108</v>
      </c>
    </row>
    <row r="1682" spans="6:6" x14ac:dyDescent="0.25">
      <c r="F1682" t="s">
        <v>108</v>
      </c>
    </row>
    <row r="1683" spans="6:6" x14ac:dyDescent="0.25">
      <c r="F1683" t="s">
        <v>108</v>
      </c>
    </row>
    <row r="1684" spans="6:6" x14ac:dyDescent="0.25">
      <c r="F1684" t="s">
        <v>108</v>
      </c>
    </row>
    <row r="1685" spans="6:6" x14ac:dyDescent="0.25">
      <c r="F1685" t="s">
        <v>108</v>
      </c>
    </row>
    <row r="1686" spans="6:6" x14ac:dyDescent="0.25">
      <c r="F1686" t="s">
        <v>108</v>
      </c>
    </row>
    <row r="1687" spans="6:6" x14ac:dyDescent="0.25">
      <c r="F1687" t="s">
        <v>108</v>
      </c>
    </row>
    <row r="1688" spans="6:6" x14ac:dyDescent="0.25">
      <c r="F1688" t="s">
        <v>108</v>
      </c>
    </row>
    <row r="1689" spans="6:6" x14ac:dyDescent="0.25">
      <c r="F1689" t="s">
        <v>108</v>
      </c>
    </row>
    <row r="1690" spans="6:6" x14ac:dyDescent="0.25">
      <c r="F1690" t="s">
        <v>108</v>
      </c>
    </row>
    <row r="1691" spans="6:6" x14ac:dyDescent="0.25">
      <c r="F1691" t="s">
        <v>108</v>
      </c>
    </row>
    <row r="1692" spans="6:6" x14ac:dyDescent="0.25">
      <c r="F1692" t="s">
        <v>108</v>
      </c>
    </row>
    <row r="1693" spans="6:6" x14ac:dyDescent="0.25">
      <c r="F1693" t="s">
        <v>108</v>
      </c>
    </row>
    <row r="1694" spans="6:6" x14ac:dyDescent="0.25">
      <c r="F1694" t="s">
        <v>108</v>
      </c>
    </row>
    <row r="1695" spans="6:6" x14ac:dyDescent="0.25">
      <c r="F1695" t="s">
        <v>108</v>
      </c>
    </row>
    <row r="1696" spans="6:6" x14ac:dyDescent="0.25">
      <c r="F1696" t="s">
        <v>108</v>
      </c>
    </row>
    <row r="1697" spans="6:6" x14ac:dyDescent="0.25">
      <c r="F1697" t="s">
        <v>108</v>
      </c>
    </row>
    <row r="1698" spans="6:6" x14ac:dyDescent="0.25">
      <c r="F1698" t="s">
        <v>108</v>
      </c>
    </row>
    <row r="1699" spans="6:6" x14ac:dyDescent="0.25">
      <c r="F1699" t="s">
        <v>108</v>
      </c>
    </row>
    <row r="1700" spans="6:6" x14ac:dyDescent="0.25">
      <c r="F1700" t="s">
        <v>108</v>
      </c>
    </row>
    <row r="1701" spans="6:6" x14ac:dyDescent="0.25">
      <c r="F1701" t="s">
        <v>108</v>
      </c>
    </row>
    <row r="1702" spans="6:6" x14ac:dyDescent="0.25">
      <c r="F1702" t="s">
        <v>108</v>
      </c>
    </row>
    <row r="1703" spans="6:6" x14ac:dyDescent="0.25">
      <c r="F1703" t="s">
        <v>108</v>
      </c>
    </row>
    <row r="1704" spans="6:6" x14ac:dyDescent="0.25">
      <c r="F1704" t="s">
        <v>108</v>
      </c>
    </row>
    <row r="1705" spans="6:6" x14ac:dyDescent="0.25">
      <c r="F1705" t="s">
        <v>108</v>
      </c>
    </row>
    <row r="1706" spans="6:6" x14ac:dyDescent="0.25">
      <c r="F1706" t="s">
        <v>108</v>
      </c>
    </row>
    <row r="1707" spans="6:6" x14ac:dyDescent="0.25">
      <c r="F1707" t="s">
        <v>108</v>
      </c>
    </row>
    <row r="1708" spans="6:6" x14ac:dyDescent="0.25">
      <c r="F1708" t="s">
        <v>108</v>
      </c>
    </row>
    <row r="1709" spans="6:6" x14ac:dyDescent="0.25">
      <c r="F1709" t="s">
        <v>108</v>
      </c>
    </row>
    <row r="1710" spans="6:6" x14ac:dyDescent="0.25">
      <c r="F1710" t="s">
        <v>108</v>
      </c>
    </row>
    <row r="1711" spans="6:6" x14ac:dyDescent="0.25">
      <c r="F1711" t="s">
        <v>108</v>
      </c>
    </row>
    <row r="1712" spans="6:6" x14ac:dyDescent="0.25">
      <c r="F1712" t="s">
        <v>108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181"/>
  <sheetViews>
    <sheetView topLeftCell="A9" workbookViewId="0">
      <selection activeCell="A8" sqref="A8"/>
    </sheetView>
  </sheetViews>
  <sheetFormatPr baseColWidth="10" defaultColWidth="9.140625" defaultRowHeight="15" x14ac:dyDescent="0.25"/>
  <cols>
    <col min="1" max="1" width="11.85546875" bestFit="1" customWidth="1"/>
    <col min="2" max="2" width="13.140625" bestFit="1" customWidth="1"/>
    <col min="6" max="6" width="12.140625" customWidth="1"/>
    <col min="8" max="8" width="12.140625" bestFit="1" customWidth="1"/>
    <col min="9" max="9" width="12" bestFit="1" customWidth="1"/>
    <col min="10" max="10" width="11.85546875" customWidth="1"/>
    <col min="11" max="11" width="15.85546875" customWidth="1"/>
    <col min="12" max="12" width="17" customWidth="1"/>
    <col min="13" max="13" width="13.5703125" customWidth="1"/>
    <col min="267" max="267" width="12.85546875" customWidth="1"/>
    <col min="268" max="268" width="11.5703125" customWidth="1"/>
    <col min="523" max="523" width="12.85546875" customWidth="1"/>
    <col min="524" max="524" width="11.5703125" customWidth="1"/>
    <col min="779" max="779" width="12.85546875" customWidth="1"/>
    <col min="780" max="780" width="11.5703125" customWidth="1"/>
    <col min="1035" max="1035" width="12.85546875" customWidth="1"/>
    <col min="1036" max="1036" width="11.5703125" customWidth="1"/>
    <col min="1291" max="1291" width="12.85546875" customWidth="1"/>
    <col min="1292" max="1292" width="11.5703125" customWidth="1"/>
    <col min="1547" max="1547" width="12.85546875" customWidth="1"/>
    <col min="1548" max="1548" width="11.5703125" customWidth="1"/>
    <col min="1803" max="1803" width="12.85546875" customWidth="1"/>
    <col min="1804" max="1804" width="11.5703125" customWidth="1"/>
    <col min="2059" max="2059" width="12.85546875" customWidth="1"/>
    <col min="2060" max="2060" width="11.5703125" customWidth="1"/>
    <col min="2315" max="2315" width="12.85546875" customWidth="1"/>
    <col min="2316" max="2316" width="11.5703125" customWidth="1"/>
    <col min="2571" max="2571" width="12.85546875" customWidth="1"/>
    <col min="2572" max="2572" width="11.5703125" customWidth="1"/>
    <col min="2827" max="2827" width="12.85546875" customWidth="1"/>
    <col min="2828" max="2828" width="11.5703125" customWidth="1"/>
    <col min="3083" max="3083" width="12.85546875" customWidth="1"/>
    <col min="3084" max="3084" width="11.5703125" customWidth="1"/>
    <col min="3339" max="3339" width="12.85546875" customWidth="1"/>
    <col min="3340" max="3340" width="11.5703125" customWidth="1"/>
    <col min="3595" max="3595" width="12.85546875" customWidth="1"/>
    <col min="3596" max="3596" width="11.5703125" customWidth="1"/>
    <col min="3851" max="3851" width="12.85546875" customWidth="1"/>
    <col min="3852" max="3852" width="11.5703125" customWidth="1"/>
    <col min="4107" max="4107" width="12.85546875" customWidth="1"/>
    <col min="4108" max="4108" width="11.5703125" customWidth="1"/>
    <col min="4363" max="4363" width="12.85546875" customWidth="1"/>
    <col min="4364" max="4364" width="11.5703125" customWidth="1"/>
    <col min="4619" max="4619" width="12.85546875" customWidth="1"/>
    <col min="4620" max="4620" width="11.5703125" customWidth="1"/>
    <col min="4875" max="4875" width="12.85546875" customWidth="1"/>
    <col min="4876" max="4876" width="11.5703125" customWidth="1"/>
    <col min="5131" max="5131" width="12.85546875" customWidth="1"/>
    <col min="5132" max="5132" width="11.5703125" customWidth="1"/>
    <col min="5387" max="5387" width="12.85546875" customWidth="1"/>
    <col min="5388" max="5388" width="11.5703125" customWidth="1"/>
    <col min="5643" max="5643" width="12.85546875" customWidth="1"/>
    <col min="5644" max="5644" width="11.5703125" customWidth="1"/>
    <col min="5899" max="5899" width="12.85546875" customWidth="1"/>
    <col min="5900" max="5900" width="11.5703125" customWidth="1"/>
    <col min="6155" max="6155" width="12.85546875" customWidth="1"/>
    <col min="6156" max="6156" width="11.5703125" customWidth="1"/>
    <col min="6411" max="6411" width="12.85546875" customWidth="1"/>
    <col min="6412" max="6412" width="11.5703125" customWidth="1"/>
    <col min="6667" max="6667" width="12.85546875" customWidth="1"/>
    <col min="6668" max="6668" width="11.5703125" customWidth="1"/>
    <col min="6923" max="6923" width="12.85546875" customWidth="1"/>
    <col min="6924" max="6924" width="11.5703125" customWidth="1"/>
    <col min="7179" max="7179" width="12.85546875" customWidth="1"/>
    <col min="7180" max="7180" width="11.5703125" customWidth="1"/>
    <col min="7435" max="7435" width="12.85546875" customWidth="1"/>
    <col min="7436" max="7436" width="11.5703125" customWidth="1"/>
    <col min="7691" max="7691" width="12.85546875" customWidth="1"/>
    <col min="7692" max="7692" width="11.5703125" customWidth="1"/>
    <col min="7947" max="7947" width="12.85546875" customWidth="1"/>
    <col min="7948" max="7948" width="11.5703125" customWidth="1"/>
    <col min="8203" max="8203" width="12.85546875" customWidth="1"/>
    <col min="8204" max="8204" width="11.5703125" customWidth="1"/>
    <col min="8459" max="8459" width="12.85546875" customWidth="1"/>
    <col min="8460" max="8460" width="11.5703125" customWidth="1"/>
    <col min="8715" max="8715" width="12.85546875" customWidth="1"/>
    <col min="8716" max="8716" width="11.5703125" customWidth="1"/>
    <col min="8971" max="8971" width="12.85546875" customWidth="1"/>
    <col min="8972" max="8972" width="11.5703125" customWidth="1"/>
    <col min="9227" max="9227" width="12.85546875" customWidth="1"/>
    <col min="9228" max="9228" width="11.5703125" customWidth="1"/>
    <col min="9483" max="9483" width="12.85546875" customWidth="1"/>
    <col min="9484" max="9484" width="11.5703125" customWidth="1"/>
    <col min="9739" max="9739" width="12.85546875" customWidth="1"/>
    <col min="9740" max="9740" width="11.5703125" customWidth="1"/>
    <col min="9995" max="9995" width="12.85546875" customWidth="1"/>
    <col min="9996" max="9996" width="11.5703125" customWidth="1"/>
    <col min="10251" max="10251" width="12.85546875" customWidth="1"/>
    <col min="10252" max="10252" width="11.5703125" customWidth="1"/>
    <col min="10507" max="10507" width="12.85546875" customWidth="1"/>
    <col min="10508" max="10508" width="11.5703125" customWidth="1"/>
    <col min="10763" max="10763" width="12.85546875" customWidth="1"/>
    <col min="10764" max="10764" width="11.5703125" customWidth="1"/>
    <col min="11019" max="11019" width="12.85546875" customWidth="1"/>
    <col min="11020" max="11020" width="11.5703125" customWidth="1"/>
    <col min="11275" max="11275" width="12.85546875" customWidth="1"/>
    <col min="11276" max="11276" width="11.5703125" customWidth="1"/>
    <col min="11531" max="11531" width="12.85546875" customWidth="1"/>
    <col min="11532" max="11532" width="11.5703125" customWidth="1"/>
    <col min="11787" max="11787" width="12.85546875" customWidth="1"/>
    <col min="11788" max="11788" width="11.5703125" customWidth="1"/>
    <col min="12043" max="12043" width="12.85546875" customWidth="1"/>
    <col min="12044" max="12044" width="11.5703125" customWidth="1"/>
    <col min="12299" max="12299" width="12.85546875" customWidth="1"/>
    <col min="12300" max="12300" width="11.5703125" customWidth="1"/>
    <col min="12555" max="12555" width="12.85546875" customWidth="1"/>
    <col min="12556" max="12556" width="11.5703125" customWidth="1"/>
    <col min="12811" max="12811" width="12.85546875" customWidth="1"/>
    <col min="12812" max="12812" width="11.5703125" customWidth="1"/>
    <col min="13067" max="13067" width="12.85546875" customWidth="1"/>
    <col min="13068" max="13068" width="11.5703125" customWidth="1"/>
    <col min="13323" max="13323" width="12.85546875" customWidth="1"/>
    <col min="13324" max="13324" width="11.5703125" customWidth="1"/>
    <col min="13579" max="13579" width="12.85546875" customWidth="1"/>
    <col min="13580" max="13580" width="11.5703125" customWidth="1"/>
    <col min="13835" max="13835" width="12.85546875" customWidth="1"/>
    <col min="13836" max="13836" width="11.5703125" customWidth="1"/>
    <col min="14091" max="14091" width="12.85546875" customWidth="1"/>
    <col min="14092" max="14092" width="11.5703125" customWidth="1"/>
    <col min="14347" max="14347" width="12.85546875" customWidth="1"/>
    <col min="14348" max="14348" width="11.5703125" customWidth="1"/>
    <col min="14603" max="14603" width="12.85546875" customWidth="1"/>
    <col min="14604" max="14604" width="11.5703125" customWidth="1"/>
    <col min="14859" max="14859" width="12.85546875" customWidth="1"/>
    <col min="14860" max="14860" width="11.5703125" customWidth="1"/>
    <col min="15115" max="15115" width="12.85546875" customWidth="1"/>
    <col min="15116" max="15116" width="11.5703125" customWidth="1"/>
    <col min="15371" max="15371" width="12.85546875" customWidth="1"/>
    <col min="15372" max="15372" width="11.5703125" customWidth="1"/>
    <col min="15627" max="15627" width="12.85546875" customWidth="1"/>
    <col min="15628" max="15628" width="11.5703125" customWidth="1"/>
    <col min="15883" max="15883" width="12.85546875" customWidth="1"/>
    <col min="15884" max="15884" width="11.5703125" customWidth="1"/>
    <col min="16139" max="16139" width="12.85546875" customWidth="1"/>
    <col min="16140" max="16140" width="11.5703125" customWidth="1"/>
  </cols>
  <sheetData>
    <row r="1" spans="1:14" ht="15.75" thickBot="1" x14ac:dyDescent="0.3"/>
    <row r="2" spans="1:14" x14ac:dyDescent="0.25">
      <c r="B2" s="70" t="s">
        <v>196</v>
      </c>
      <c r="H2" t="s">
        <v>197</v>
      </c>
      <c r="J2" s="71"/>
    </row>
    <row r="3" spans="1:14" ht="15.75" thickBot="1" x14ac:dyDescent="0.3">
      <c r="B3" s="72">
        <f>L24</f>
        <v>0.76784842073791693</v>
      </c>
      <c r="C3" t="s">
        <v>198</v>
      </c>
      <c r="K3" t="s">
        <v>199</v>
      </c>
      <c r="M3" t="s">
        <v>200</v>
      </c>
      <c r="N3" t="s">
        <v>201</v>
      </c>
    </row>
    <row r="4" spans="1:14" ht="15.75" thickBot="1" x14ac:dyDescent="0.3">
      <c r="H4" s="73" t="s">
        <v>202</v>
      </c>
      <c r="K4" s="74">
        <f>SQRT(K22/13)</f>
        <v>2786.9834650488633</v>
      </c>
      <c r="M4" s="75">
        <f>AVERAGE(K7:K21)</f>
        <v>6731639.9231949989</v>
      </c>
      <c r="N4" s="76">
        <f>SQRT(M4)</f>
        <v>2594.5404069304836</v>
      </c>
    </row>
    <row r="5" spans="1:14" x14ac:dyDescent="0.25">
      <c r="A5" t="s">
        <v>203</v>
      </c>
      <c r="C5" s="238" t="s">
        <v>204</v>
      </c>
      <c r="D5" s="239"/>
      <c r="E5" s="73"/>
      <c r="F5" s="73"/>
      <c r="G5" s="73"/>
      <c r="H5" t="s">
        <v>205</v>
      </c>
      <c r="K5" t="s">
        <v>206</v>
      </c>
    </row>
    <row r="6" spans="1:14" ht="15.75" thickBot="1" x14ac:dyDescent="0.3">
      <c r="A6" s="73" t="s">
        <v>207</v>
      </c>
      <c r="B6" s="73" t="s">
        <v>208</v>
      </c>
      <c r="C6" s="77" t="s">
        <v>209</v>
      </c>
      <c r="D6" s="78" t="s">
        <v>210</v>
      </c>
      <c r="E6" s="73"/>
      <c r="F6" s="79"/>
      <c r="G6" s="79"/>
      <c r="H6" s="73" t="s">
        <v>211</v>
      </c>
      <c r="I6" s="73" t="s">
        <v>207</v>
      </c>
      <c r="J6" s="73" t="s">
        <v>212</v>
      </c>
      <c r="K6" s="73" t="s">
        <v>213</v>
      </c>
      <c r="L6" s="73" t="s">
        <v>214</v>
      </c>
      <c r="M6" s="73" t="s">
        <v>215</v>
      </c>
    </row>
    <row r="7" spans="1:14" x14ac:dyDescent="0.25">
      <c r="A7">
        <v>0</v>
      </c>
      <c r="B7" s="33">
        <f>2.2304*A7 + 1796.4</f>
        <v>1796.4</v>
      </c>
      <c r="C7" s="33">
        <f>$B7+2*($K$4*(SQRT((1/13)+((($A7-$I$22)^2)/$M$22))))</f>
        <v>4319.3617676460653</v>
      </c>
      <c r="D7" s="33">
        <f>$B7-2*($K$4*(SQRT((1/13)+((($A7-$I$22)^2)/$M$22))))</f>
        <v>-726.56176764606516</v>
      </c>
      <c r="E7" s="80"/>
      <c r="F7" s="81"/>
      <c r="G7" s="33"/>
      <c r="H7">
        <v>11778.660000000002</v>
      </c>
      <c r="I7">
        <v>2722</v>
      </c>
      <c r="J7" s="33">
        <f>2.2304*I7 + 1796.4</f>
        <v>7867.5488000000005</v>
      </c>
      <c r="K7" s="75">
        <f>(H7-J7)^2</f>
        <v>15296790.818765448</v>
      </c>
      <c r="L7" s="75">
        <f t="shared" ref="L7:L21" si="0">(H7-$H$22)^2</f>
        <v>11868948.277956</v>
      </c>
      <c r="M7" s="33">
        <f t="shared" ref="M7:M21" si="1">(I7-$I$22)^2</f>
        <v>43625.284444444493</v>
      </c>
    </row>
    <row r="8" spans="1:14" x14ac:dyDescent="0.25">
      <c r="A8">
        <f>A7+500</f>
        <v>500</v>
      </c>
      <c r="B8" s="33">
        <f t="shared" ref="B8:B71" si="2">2.2304*A8 + 1796.4</f>
        <v>2911.6000000000004</v>
      </c>
      <c r="C8" s="33">
        <f t="shared" ref="C8:C71" si="3">$B8+2*($K$4*(SQRT((1/13)+((($A8-$I$22)^2)/$M$22))))</f>
        <v>5175.3673824947409</v>
      </c>
      <c r="D8" s="33">
        <f t="shared" ref="D8:D71" si="4">$B8-2*($K$4*(SQRT((1/13)+((($A8-$I$22)^2)/$M$22))))</f>
        <v>647.8326175052598</v>
      </c>
      <c r="E8" s="80"/>
      <c r="F8" s="81"/>
      <c r="G8" s="33"/>
      <c r="H8">
        <v>18794.34</v>
      </c>
      <c r="I8">
        <v>5722</v>
      </c>
      <c r="J8" s="33">
        <f t="shared" ref="J8:J21" si="5">2.2304*I8 + 1796.4</f>
        <v>14558.748799999999</v>
      </c>
      <c r="K8" s="75">
        <f t="shared" ref="K8:K21" si="6">(H8-J8)^2</f>
        <v>17940232.813517448</v>
      </c>
      <c r="L8" s="75">
        <f t="shared" si="0"/>
        <v>109428629.54259597</v>
      </c>
      <c r="M8" s="33">
        <f t="shared" si="1"/>
        <v>7790425.2844444439</v>
      </c>
    </row>
    <row r="9" spans="1:14" x14ac:dyDescent="0.25">
      <c r="A9">
        <f t="shared" ref="A9:A72" si="7">A8+500</f>
        <v>1000</v>
      </c>
      <c r="B9" s="33">
        <f t="shared" si="2"/>
        <v>4026.8</v>
      </c>
      <c r="C9" s="33">
        <f t="shared" si="3"/>
        <v>6055.4318658368029</v>
      </c>
      <c r="D9" s="33">
        <f t="shared" si="4"/>
        <v>1998.1681341631975</v>
      </c>
      <c r="E9" s="80"/>
      <c r="F9" s="81"/>
      <c r="G9" s="33"/>
      <c r="H9">
        <v>14891.310000000001</v>
      </c>
      <c r="I9">
        <v>4561</v>
      </c>
      <c r="J9" s="33">
        <f t="shared" si="5"/>
        <v>11969.2544</v>
      </c>
      <c r="K9" s="75">
        <f t="shared" si="6"/>
        <v>8538408.9294913691</v>
      </c>
      <c r="L9" s="75">
        <f t="shared" si="0"/>
        <v>43004530.990655996</v>
      </c>
      <c r="M9" s="33">
        <f t="shared" si="1"/>
        <v>2657334.6844444443</v>
      </c>
    </row>
    <row r="10" spans="1:14" x14ac:dyDescent="0.25">
      <c r="A10">
        <f t="shared" si="7"/>
        <v>1500</v>
      </c>
      <c r="B10" s="33">
        <f t="shared" si="2"/>
        <v>5142</v>
      </c>
      <c r="C10" s="33">
        <f t="shared" si="3"/>
        <v>6968.8687791212624</v>
      </c>
      <c r="D10" s="33">
        <f t="shared" si="4"/>
        <v>3315.1312208787376</v>
      </c>
      <c r="E10" s="80"/>
      <c r="F10" s="81"/>
      <c r="G10" s="33"/>
      <c r="H10">
        <v>8208.8100000000013</v>
      </c>
      <c r="I10">
        <v>2776</v>
      </c>
      <c r="J10" s="33">
        <f t="shared" si="5"/>
        <v>7987.9904000000006</v>
      </c>
      <c r="K10" s="75">
        <f t="shared" si="6"/>
        <v>48761.295744160314</v>
      </c>
      <c r="L10" s="75">
        <f t="shared" si="0"/>
        <v>15554.080656000087</v>
      </c>
      <c r="M10" s="33">
        <f t="shared" si="1"/>
        <v>23983.684444444483</v>
      </c>
    </row>
    <row r="11" spans="1:14" x14ac:dyDescent="0.25">
      <c r="A11">
        <f t="shared" si="7"/>
        <v>2000</v>
      </c>
      <c r="B11" s="33">
        <f t="shared" si="2"/>
        <v>6257.2000000000007</v>
      </c>
      <c r="C11" s="33">
        <f t="shared" si="3"/>
        <v>7927.8135487196323</v>
      </c>
      <c r="D11" s="33">
        <f t="shared" si="4"/>
        <v>4586.5864512803691</v>
      </c>
      <c r="E11" s="81"/>
      <c r="F11" s="81"/>
      <c r="G11" s="81"/>
      <c r="H11">
        <v>17565.21</v>
      </c>
      <c r="I11">
        <v>8544</v>
      </c>
      <c r="J11" s="33">
        <f t="shared" si="5"/>
        <v>20852.937600000001</v>
      </c>
      <c r="K11" s="75">
        <f t="shared" si="6"/>
        <v>10809152.771801773</v>
      </c>
      <c r="L11" s="75">
        <f t="shared" si="0"/>
        <v>85223989.475855947</v>
      </c>
      <c r="M11" s="33">
        <f t="shared" si="1"/>
        <v>31507265.817777775</v>
      </c>
    </row>
    <row r="12" spans="1:14" x14ac:dyDescent="0.25">
      <c r="A12">
        <f t="shared" si="7"/>
        <v>2500</v>
      </c>
      <c r="B12" s="33">
        <f t="shared" si="2"/>
        <v>7372.4</v>
      </c>
      <c r="C12" s="33">
        <f t="shared" si="3"/>
        <v>8945.8826107082568</v>
      </c>
      <c r="D12" s="33">
        <f t="shared" si="4"/>
        <v>5798.9173892917424</v>
      </c>
      <c r="E12" s="81"/>
      <c r="F12" s="81"/>
      <c r="G12" s="81"/>
      <c r="H12">
        <v>1112.1300000000001</v>
      </c>
      <c r="I12">
        <v>961</v>
      </c>
      <c r="J12" s="33">
        <f t="shared" si="5"/>
        <v>3939.8144000000002</v>
      </c>
      <c r="K12" s="75">
        <f t="shared" si="6"/>
        <v>7995799.0660033608</v>
      </c>
      <c r="L12" s="75">
        <f t="shared" si="0"/>
        <v>52148560.188816026</v>
      </c>
      <c r="M12" s="33">
        <f t="shared" si="1"/>
        <v>3880374.6844444447</v>
      </c>
    </row>
    <row r="13" spans="1:14" x14ac:dyDescent="0.25">
      <c r="A13">
        <f t="shared" si="7"/>
        <v>3000</v>
      </c>
      <c r="B13" s="33">
        <f t="shared" si="2"/>
        <v>8487.6</v>
      </c>
      <c r="C13" s="33">
        <f t="shared" si="3"/>
        <v>10034.255497269845</v>
      </c>
      <c r="D13" s="33">
        <f t="shared" si="4"/>
        <v>6940.9445027301554</v>
      </c>
      <c r="E13" s="81"/>
      <c r="F13" s="81"/>
      <c r="G13" s="33"/>
      <c r="H13">
        <v>1912.8600000000001</v>
      </c>
      <c r="I13">
        <v>926</v>
      </c>
      <c r="J13" s="33">
        <f t="shared" si="5"/>
        <v>3861.7503999999999</v>
      </c>
      <c r="K13" s="75">
        <f t="shared" si="6"/>
        <v>3798173.7912121592</v>
      </c>
      <c r="L13" s="75">
        <f t="shared" si="0"/>
        <v>41224951.883556016</v>
      </c>
      <c r="M13" s="33">
        <f t="shared" si="1"/>
        <v>4019490.3511111117</v>
      </c>
    </row>
    <row r="14" spans="1:14" x14ac:dyDescent="0.25">
      <c r="A14">
        <f t="shared" si="7"/>
        <v>3500</v>
      </c>
      <c r="B14" s="33">
        <f t="shared" si="2"/>
        <v>9602.7999999999993</v>
      </c>
      <c r="C14" s="33">
        <f t="shared" si="3"/>
        <v>11196.486522584311</v>
      </c>
      <c r="D14" s="33">
        <f t="shared" si="4"/>
        <v>8009.1134774156872</v>
      </c>
      <c r="E14" s="81"/>
      <c r="F14" s="81"/>
      <c r="G14" s="33"/>
      <c r="H14">
        <v>3287.880000000001</v>
      </c>
      <c r="I14">
        <v>1782</v>
      </c>
      <c r="J14" s="33">
        <f t="shared" si="5"/>
        <v>5770.9727999999996</v>
      </c>
      <c r="K14" s="75">
        <f t="shared" si="6"/>
        <v>6165749.8534118328</v>
      </c>
      <c r="L14" s="75">
        <f t="shared" si="0"/>
        <v>25458543.557316005</v>
      </c>
      <c r="M14" s="33">
        <f t="shared" si="1"/>
        <v>1319894.6177777781</v>
      </c>
    </row>
    <row r="15" spans="1:14" x14ac:dyDescent="0.25">
      <c r="A15">
        <f t="shared" si="7"/>
        <v>4000</v>
      </c>
      <c r="B15" s="33">
        <f t="shared" si="2"/>
        <v>10718</v>
      </c>
      <c r="C15" s="33">
        <f t="shared" si="3"/>
        <v>12426.487062080601</v>
      </c>
      <c r="D15" s="33">
        <f t="shared" si="4"/>
        <v>9009.5129379193986</v>
      </c>
      <c r="E15" s="81"/>
      <c r="F15" s="81"/>
      <c r="G15" s="33"/>
      <c r="H15">
        <v>6418.9800000000014</v>
      </c>
      <c r="I15">
        <v>1651</v>
      </c>
      <c r="J15" s="33">
        <f t="shared" si="5"/>
        <v>5478.7903999999999</v>
      </c>
      <c r="K15" s="75">
        <f t="shared" si="6"/>
        <v>883956.48394816287</v>
      </c>
      <c r="L15" s="75">
        <f t="shared" si="0"/>
        <v>3665486.3861160013</v>
      </c>
      <c r="M15" s="33">
        <f t="shared" si="1"/>
        <v>1638058.6844444447</v>
      </c>
    </row>
    <row r="16" spans="1:14" x14ac:dyDescent="0.25">
      <c r="A16">
        <f t="shared" si="7"/>
        <v>4500</v>
      </c>
      <c r="B16" s="33">
        <f t="shared" si="2"/>
        <v>11833.199999999999</v>
      </c>
      <c r="C16" s="33">
        <f t="shared" si="3"/>
        <v>13711.874307676777</v>
      </c>
      <c r="D16" s="33">
        <f t="shared" si="4"/>
        <v>9954.5256923232209</v>
      </c>
      <c r="E16" s="81"/>
      <c r="F16" s="81"/>
      <c r="G16" s="33"/>
      <c r="H16">
        <v>9023.49</v>
      </c>
      <c r="I16">
        <v>3719</v>
      </c>
      <c r="J16" s="33">
        <f t="shared" si="5"/>
        <v>10091.257599999999</v>
      </c>
      <c r="K16" s="75">
        <f t="shared" si="6"/>
        <v>1140127.6476097584</v>
      </c>
      <c r="L16" s="75">
        <f t="shared" si="0"/>
        <v>476050.32129599742</v>
      </c>
      <c r="M16" s="33">
        <f t="shared" si="1"/>
        <v>621154.15111111093</v>
      </c>
    </row>
    <row r="17" spans="1:13" x14ac:dyDescent="0.25">
      <c r="A17">
        <f t="shared" si="7"/>
        <v>5000</v>
      </c>
      <c r="B17" s="33">
        <f t="shared" si="2"/>
        <v>12948.4</v>
      </c>
      <c r="C17" s="33">
        <f t="shared" si="3"/>
        <v>15039.166383733707</v>
      </c>
      <c r="D17" s="33">
        <f t="shared" si="4"/>
        <v>10857.633616266292</v>
      </c>
      <c r="E17" s="81"/>
      <c r="F17" s="81"/>
      <c r="G17" s="33"/>
      <c r="H17">
        <v>996.3900000000001</v>
      </c>
      <c r="I17">
        <v>295</v>
      </c>
      <c r="J17" s="33">
        <f t="shared" si="5"/>
        <v>2454.3679999999999</v>
      </c>
      <c r="K17" s="75">
        <f t="shared" si="6"/>
        <v>2125699.8484839997</v>
      </c>
      <c r="L17" s="75">
        <f t="shared" si="0"/>
        <v>53833564.682496019</v>
      </c>
      <c r="M17" s="33">
        <f t="shared" si="1"/>
        <v>6947793.0844444446</v>
      </c>
    </row>
    <row r="18" spans="1:13" x14ac:dyDescent="0.25">
      <c r="A18">
        <f t="shared" si="7"/>
        <v>5500</v>
      </c>
      <c r="B18" s="33">
        <f t="shared" si="2"/>
        <v>14063.599999999999</v>
      </c>
      <c r="C18" s="33">
        <f t="shared" si="3"/>
        <v>16396.96426482774</v>
      </c>
      <c r="D18" s="33">
        <f t="shared" si="4"/>
        <v>11730.235735172257</v>
      </c>
      <c r="E18" s="81"/>
      <c r="F18" s="81"/>
      <c r="G18" s="33"/>
      <c r="H18">
        <v>8987.4900000000016</v>
      </c>
      <c r="I18">
        <v>3850</v>
      </c>
      <c r="J18" s="33">
        <f t="shared" si="5"/>
        <v>10383.439999999999</v>
      </c>
      <c r="K18" s="75">
        <f t="shared" si="6"/>
        <v>1948676.4024999919</v>
      </c>
      <c r="L18" s="75">
        <f t="shared" si="0"/>
        <v>427668.91329599993</v>
      </c>
      <c r="M18" s="33">
        <f t="shared" si="1"/>
        <v>844806.08444444428</v>
      </c>
    </row>
    <row r="19" spans="1:13" x14ac:dyDescent="0.25">
      <c r="A19">
        <f t="shared" si="7"/>
        <v>6000</v>
      </c>
      <c r="B19" s="33">
        <f t="shared" si="2"/>
        <v>15178.8</v>
      </c>
      <c r="C19" s="33">
        <f t="shared" si="3"/>
        <v>17776.735972536153</v>
      </c>
      <c r="D19" s="33">
        <f t="shared" si="4"/>
        <v>12580.864027463844</v>
      </c>
      <c r="E19" s="81"/>
      <c r="F19" s="81"/>
      <c r="G19" s="33"/>
      <c r="H19">
        <v>8280.36</v>
      </c>
      <c r="I19">
        <v>853</v>
      </c>
      <c r="J19" s="33">
        <f t="shared" si="5"/>
        <v>3698.9312</v>
      </c>
      <c r="K19" s="75">
        <f t="shared" si="6"/>
        <v>20989489.849469446</v>
      </c>
      <c r="L19" s="75">
        <f t="shared" si="0"/>
        <v>2826.6235560001146</v>
      </c>
      <c r="M19" s="33">
        <f t="shared" si="1"/>
        <v>4317529.8844444454</v>
      </c>
    </row>
    <row r="20" spans="1:13" x14ac:dyDescent="0.25">
      <c r="A20">
        <f t="shared" si="7"/>
        <v>6500</v>
      </c>
      <c r="B20" s="33">
        <f t="shared" si="2"/>
        <v>16294</v>
      </c>
      <c r="C20" s="33">
        <f t="shared" si="3"/>
        <v>19172.428676625103</v>
      </c>
      <c r="D20" s="33">
        <f t="shared" si="4"/>
        <v>13415.571323374897</v>
      </c>
      <c r="E20" s="81"/>
      <c r="F20" s="81"/>
      <c r="G20" s="33"/>
      <c r="H20">
        <v>5475.5999999999995</v>
      </c>
      <c r="I20">
        <v>1938</v>
      </c>
      <c r="J20" s="33">
        <f t="shared" si="5"/>
        <v>6118.9151999999995</v>
      </c>
      <c r="K20" s="75">
        <f t="shared" si="6"/>
        <v>413854.44655103999</v>
      </c>
      <c r="L20" s="75">
        <f t="shared" si="0"/>
        <v>8167741.0214760127</v>
      </c>
      <c r="M20" s="33">
        <f t="shared" si="1"/>
        <v>985784.21777777805</v>
      </c>
    </row>
    <row r="21" spans="1:13" x14ac:dyDescent="0.25">
      <c r="A21">
        <f t="shared" si="7"/>
        <v>7000</v>
      </c>
      <c r="B21" s="33">
        <f t="shared" si="2"/>
        <v>17409.2</v>
      </c>
      <c r="C21" s="33">
        <f t="shared" si="3"/>
        <v>20579.8197784402</v>
      </c>
      <c r="D21" s="33">
        <f t="shared" si="4"/>
        <v>14238.580221559801</v>
      </c>
      <c r="E21" s="80"/>
      <c r="F21" s="81"/>
      <c r="G21" s="33"/>
      <c r="H21">
        <v>8269.380000000001</v>
      </c>
      <c r="I21">
        <v>3663</v>
      </c>
      <c r="J21" s="33">
        <f t="shared" si="5"/>
        <v>9966.3552</v>
      </c>
      <c r="K21" s="75">
        <f t="shared" si="6"/>
        <v>2879724.8294150364</v>
      </c>
      <c r="L21" s="75">
        <f t="shared" si="0"/>
        <v>4114.7093160000823</v>
      </c>
      <c r="M21" s="33">
        <f t="shared" si="1"/>
        <v>536019.21777777758</v>
      </c>
    </row>
    <row r="22" spans="1:13" x14ac:dyDescent="0.25">
      <c r="A22">
        <f t="shared" si="7"/>
        <v>7500</v>
      </c>
      <c r="B22" s="33">
        <f t="shared" si="2"/>
        <v>18524.400000000001</v>
      </c>
      <c r="C22" s="33">
        <f t="shared" si="3"/>
        <v>21995.95667049419</v>
      </c>
      <c r="D22" s="33">
        <f t="shared" si="4"/>
        <v>15052.843329505811</v>
      </c>
      <c r="E22" s="80"/>
      <c r="F22" s="81"/>
      <c r="G22" s="33"/>
      <c r="H22">
        <f>AVERAGE(H7:H21)</f>
        <v>8333.5260000000017</v>
      </c>
      <c r="I22">
        <f>AVERAGE(I7:I21)</f>
        <v>2930.8666666666668</v>
      </c>
      <c r="K22" s="75">
        <f>SUM(K7:K21)</f>
        <v>100974598.84792498</v>
      </c>
      <c r="L22" s="75">
        <f>SUM(L7:L21)</f>
        <v>434951160.65495998</v>
      </c>
      <c r="M22" s="75">
        <f>SUM(M7:M21)</f>
        <v>67133539.733333334</v>
      </c>
    </row>
    <row r="23" spans="1:13" ht="15.75" thickBot="1" x14ac:dyDescent="0.3">
      <c r="A23">
        <f t="shared" si="7"/>
        <v>8000</v>
      </c>
      <c r="B23" s="33">
        <f t="shared" si="2"/>
        <v>19639.600000000002</v>
      </c>
      <c r="C23" s="33">
        <f t="shared" si="3"/>
        <v>23418.750626459248</v>
      </c>
      <c r="D23" s="33">
        <f t="shared" si="4"/>
        <v>15860.449373540756</v>
      </c>
      <c r="E23" s="80"/>
      <c r="F23" s="81"/>
      <c r="G23" s="33"/>
      <c r="H23" t="s">
        <v>132</v>
      </c>
      <c r="I23" t="s">
        <v>132</v>
      </c>
      <c r="K23" t="s">
        <v>216</v>
      </c>
      <c r="L23" t="s">
        <v>216</v>
      </c>
    </row>
    <row r="24" spans="1:13" ht="15.75" thickBot="1" x14ac:dyDescent="0.3">
      <c r="A24">
        <f t="shared" si="7"/>
        <v>8500</v>
      </c>
      <c r="B24" s="33">
        <f t="shared" si="2"/>
        <v>20754.8</v>
      </c>
      <c r="C24" s="33">
        <f t="shared" si="3"/>
        <v>24846.700658921232</v>
      </c>
      <c r="D24" s="33">
        <f t="shared" si="4"/>
        <v>16662.899341078766</v>
      </c>
      <c r="E24" s="80"/>
      <c r="F24" s="81"/>
      <c r="G24" s="33"/>
      <c r="K24" t="s">
        <v>196</v>
      </c>
      <c r="L24" s="82">
        <f>1-(K22/L22)</f>
        <v>0.76784842073791693</v>
      </c>
    </row>
    <row r="25" spans="1:13" x14ac:dyDescent="0.25">
      <c r="A25">
        <f t="shared" si="7"/>
        <v>9000</v>
      </c>
      <c r="B25" s="33">
        <f t="shared" si="2"/>
        <v>21870</v>
      </c>
      <c r="C25" s="33">
        <f t="shared" si="3"/>
        <v>26278.709601628441</v>
      </c>
      <c r="D25" s="33">
        <f t="shared" si="4"/>
        <v>17461.290398371559</v>
      </c>
      <c r="E25" s="80"/>
      <c r="F25" s="81"/>
      <c r="G25" s="33"/>
    </row>
    <row r="26" spans="1:13" x14ac:dyDescent="0.25">
      <c r="A26">
        <f t="shared" si="7"/>
        <v>9500</v>
      </c>
      <c r="B26" s="33">
        <f t="shared" si="2"/>
        <v>22985.200000000001</v>
      </c>
      <c r="C26" s="33">
        <f t="shared" si="3"/>
        <v>27713.961730569608</v>
      </c>
      <c r="D26" s="33">
        <f t="shared" si="4"/>
        <v>18256.438269430393</v>
      </c>
      <c r="E26" s="80"/>
      <c r="F26" s="81"/>
      <c r="G26" s="33"/>
    </row>
    <row r="27" spans="1:13" x14ac:dyDescent="0.25">
      <c r="A27">
        <f t="shared" si="7"/>
        <v>10000</v>
      </c>
      <c r="B27" s="33">
        <f t="shared" si="2"/>
        <v>24100.400000000001</v>
      </c>
      <c r="C27" s="33">
        <f t="shared" si="3"/>
        <v>29151.840632285668</v>
      </c>
      <c r="D27" s="33">
        <f t="shared" si="4"/>
        <v>19048.959367714335</v>
      </c>
      <c r="E27" s="80"/>
      <c r="F27" s="81"/>
    </row>
    <row r="28" spans="1:13" x14ac:dyDescent="0.25">
      <c r="A28">
        <f t="shared" si="7"/>
        <v>10500</v>
      </c>
      <c r="B28" s="33">
        <f t="shared" si="2"/>
        <v>25215.600000000002</v>
      </c>
      <c r="C28" s="33">
        <f t="shared" si="3"/>
        <v>30591.873358239114</v>
      </c>
      <c r="D28" s="33">
        <f t="shared" si="4"/>
        <v>19839.32664176089</v>
      </c>
      <c r="E28" s="80"/>
      <c r="F28" s="81"/>
    </row>
    <row r="29" spans="1:13" x14ac:dyDescent="0.25">
      <c r="A29">
        <f t="shared" si="7"/>
        <v>11000</v>
      </c>
      <c r="B29" s="33">
        <f t="shared" si="2"/>
        <v>26330.799999999999</v>
      </c>
      <c r="C29" s="33">
        <f t="shared" si="3"/>
        <v>32033.69187934637</v>
      </c>
      <c r="D29" s="33">
        <f t="shared" si="4"/>
        <v>20627.908120653628</v>
      </c>
      <c r="E29" s="80"/>
      <c r="F29" s="81"/>
    </row>
    <row r="30" spans="1:13" x14ac:dyDescent="0.25">
      <c r="A30">
        <f t="shared" si="7"/>
        <v>11500</v>
      </c>
      <c r="B30" s="33">
        <f t="shared" si="2"/>
        <v>27446</v>
      </c>
      <c r="C30" s="33">
        <f t="shared" si="3"/>
        <v>33477.00606503724</v>
      </c>
      <c r="D30" s="33">
        <f t="shared" si="4"/>
        <v>21414.99393496276</v>
      </c>
      <c r="E30" s="80"/>
      <c r="F30" s="81"/>
    </row>
    <row r="31" spans="1:13" x14ac:dyDescent="0.25">
      <c r="A31">
        <f t="shared" si="7"/>
        <v>12000</v>
      </c>
      <c r="B31" s="33">
        <f t="shared" si="2"/>
        <v>28561.200000000001</v>
      </c>
      <c r="C31" s="33">
        <f t="shared" si="3"/>
        <v>34921.584448248024</v>
      </c>
      <c r="D31" s="33">
        <f t="shared" si="4"/>
        <v>22200.815551751981</v>
      </c>
      <c r="E31" s="80"/>
      <c r="F31" s="81"/>
    </row>
    <row r="32" spans="1:13" x14ac:dyDescent="0.25">
      <c r="A32">
        <f t="shared" si="7"/>
        <v>12500</v>
      </c>
      <c r="B32" s="33">
        <f t="shared" si="2"/>
        <v>29676.400000000001</v>
      </c>
      <c r="C32" s="33">
        <f t="shared" si="3"/>
        <v>36367.240328875938</v>
      </c>
      <c r="D32" s="33">
        <f t="shared" si="4"/>
        <v>22985.559671124065</v>
      </c>
      <c r="E32" s="80"/>
      <c r="F32" s="81"/>
    </row>
    <row r="33" spans="1:6" x14ac:dyDescent="0.25">
      <c r="A33">
        <f t="shared" si="7"/>
        <v>13000</v>
      </c>
      <c r="B33" s="33">
        <f t="shared" si="2"/>
        <v>30791.600000000002</v>
      </c>
      <c r="C33" s="33">
        <f t="shared" si="3"/>
        <v>37813.82159202543</v>
      </c>
      <c r="D33" s="33">
        <f t="shared" si="4"/>
        <v>23769.378407974575</v>
      </c>
      <c r="E33" s="80"/>
      <c r="F33" s="81"/>
    </row>
    <row r="34" spans="1:6" x14ac:dyDescent="0.25">
      <c r="A34">
        <f t="shared" si="7"/>
        <v>13500</v>
      </c>
      <c r="B34" s="33">
        <f t="shared" si="2"/>
        <v>31906.799999999999</v>
      </c>
      <c r="C34" s="33">
        <f t="shared" si="3"/>
        <v>39261.203148624751</v>
      </c>
      <c r="D34" s="33">
        <f t="shared" si="4"/>
        <v>24552.396851375248</v>
      </c>
      <c r="E34" s="80"/>
      <c r="F34" s="81"/>
    </row>
    <row r="35" spans="1:6" x14ac:dyDescent="0.25">
      <c r="A35">
        <f t="shared" si="7"/>
        <v>14000</v>
      </c>
      <c r="B35" s="33">
        <f t="shared" si="2"/>
        <v>33022</v>
      </c>
      <c r="C35" s="33">
        <f t="shared" si="3"/>
        <v>40709.281252919871</v>
      </c>
      <c r="D35" s="33">
        <f t="shared" si="4"/>
        <v>25334.718747080129</v>
      </c>
      <c r="E35" s="80"/>
      <c r="F35" s="81"/>
    </row>
    <row r="36" spans="1:6" x14ac:dyDescent="0.25">
      <c r="A36">
        <f t="shared" si="7"/>
        <v>14500</v>
      </c>
      <c r="B36" s="33">
        <f t="shared" si="2"/>
        <v>34137.199999999997</v>
      </c>
      <c r="C36" s="33">
        <f t="shared" si="3"/>
        <v>42157.969180975284</v>
      </c>
      <c r="D36" s="33">
        <f t="shared" si="4"/>
        <v>26116.430819024707</v>
      </c>
      <c r="E36" s="80"/>
      <c r="F36" s="81"/>
    </row>
    <row r="37" spans="1:6" x14ac:dyDescent="0.25">
      <c r="A37">
        <f t="shared" si="7"/>
        <v>15000</v>
      </c>
      <c r="B37" s="33">
        <f t="shared" si="2"/>
        <v>35252.400000000001</v>
      </c>
      <c r="C37" s="33">
        <f t="shared" si="3"/>
        <v>43607.193908378045</v>
      </c>
      <c r="D37" s="33">
        <f t="shared" si="4"/>
        <v>26897.606091621958</v>
      </c>
      <c r="E37" s="80"/>
      <c r="F37" s="81"/>
    </row>
    <row r="38" spans="1:6" x14ac:dyDescent="0.25">
      <c r="A38">
        <f t="shared" si="7"/>
        <v>15500</v>
      </c>
      <c r="B38" s="33">
        <f t="shared" si="2"/>
        <v>36367.599999999999</v>
      </c>
      <c r="C38" s="33">
        <f t="shared" si="3"/>
        <v>45056.893530112604</v>
      </c>
      <c r="D38" s="33">
        <f t="shared" si="4"/>
        <v>27678.306469887393</v>
      </c>
      <c r="E38" s="80"/>
      <c r="F38" s="81"/>
    </row>
    <row r="39" spans="1:6" x14ac:dyDescent="0.25">
      <c r="A39">
        <f t="shared" si="7"/>
        <v>16000</v>
      </c>
      <c r="B39" s="33">
        <f t="shared" si="2"/>
        <v>37482.800000000003</v>
      </c>
      <c r="C39" s="33">
        <f t="shared" si="3"/>
        <v>46507.015237761167</v>
      </c>
      <c r="D39" s="33">
        <f t="shared" si="4"/>
        <v>28458.584762238843</v>
      </c>
      <c r="E39" s="80"/>
      <c r="F39" s="81"/>
    </row>
    <row r="40" spans="1:6" x14ac:dyDescent="0.25">
      <c r="A40">
        <f t="shared" si="7"/>
        <v>16500</v>
      </c>
      <c r="B40" s="33">
        <f t="shared" si="2"/>
        <v>38598</v>
      </c>
      <c r="C40" s="33">
        <f t="shared" si="3"/>
        <v>47957.513719548828</v>
      </c>
      <c r="D40" s="33">
        <f t="shared" si="4"/>
        <v>29238.486280451172</v>
      </c>
      <c r="E40" s="80"/>
      <c r="F40" s="81"/>
    </row>
    <row r="41" spans="1:6" x14ac:dyDescent="0.25">
      <c r="A41">
        <f t="shared" si="7"/>
        <v>17000</v>
      </c>
      <c r="B41" s="33">
        <f t="shared" si="2"/>
        <v>39713.199999999997</v>
      </c>
      <c r="C41" s="33">
        <f t="shared" si="3"/>
        <v>49408.349884318595</v>
      </c>
      <c r="D41" s="33">
        <f t="shared" si="4"/>
        <v>30018.050115681399</v>
      </c>
      <c r="E41" s="80"/>
      <c r="F41" s="81"/>
    </row>
    <row r="42" spans="1:6" x14ac:dyDescent="0.25">
      <c r="A42">
        <f t="shared" si="7"/>
        <v>17500</v>
      </c>
      <c r="B42" s="33">
        <f t="shared" si="2"/>
        <v>40828.400000000001</v>
      </c>
      <c r="C42" s="33">
        <f t="shared" si="3"/>
        <v>50859.489835924171</v>
      </c>
      <c r="D42" s="33">
        <f t="shared" si="4"/>
        <v>30797.310164075832</v>
      </c>
      <c r="E42" s="80"/>
      <c r="F42" s="81"/>
    </row>
    <row r="43" spans="1:6" x14ac:dyDescent="0.25">
      <c r="A43">
        <f t="shared" si="7"/>
        <v>18000</v>
      </c>
      <c r="B43" s="33">
        <f t="shared" si="2"/>
        <v>41943.6</v>
      </c>
      <c r="C43" s="33">
        <f t="shared" si="3"/>
        <v>52310.904042872353</v>
      </c>
      <c r="D43" s="33">
        <f t="shared" si="4"/>
        <v>31576.295957127644</v>
      </c>
      <c r="E43" s="80"/>
      <c r="F43" s="81"/>
    </row>
    <row r="44" spans="1:6" x14ac:dyDescent="0.25">
      <c r="A44">
        <f t="shared" si="7"/>
        <v>18500</v>
      </c>
      <c r="B44" s="33">
        <f t="shared" si="2"/>
        <v>43058.8</v>
      </c>
      <c r="C44" s="33">
        <f t="shared" si="3"/>
        <v>53762.566661429606</v>
      </c>
      <c r="D44" s="33">
        <f t="shared" si="4"/>
        <v>32355.0333385704</v>
      </c>
      <c r="E44" s="80"/>
      <c r="F44" s="81"/>
    </row>
    <row r="45" spans="1:6" x14ac:dyDescent="0.25">
      <c r="A45">
        <f t="shared" si="7"/>
        <v>19000</v>
      </c>
      <c r="B45" s="33">
        <f t="shared" si="2"/>
        <v>44174</v>
      </c>
      <c r="C45" s="33">
        <f t="shared" si="3"/>
        <v>55214.454980267088</v>
      </c>
      <c r="D45" s="33">
        <f t="shared" si="4"/>
        <v>33133.545019732912</v>
      </c>
      <c r="E45" s="80"/>
      <c r="F45" s="81"/>
    </row>
    <row r="46" spans="1:6" x14ac:dyDescent="0.25">
      <c r="A46">
        <f t="shared" si="7"/>
        <v>19500</v>
      </c>
      <c r="B46" s="33">
        <f t="shared" si="2"/>
        <v>45289.2</v>
      </c>
      <c r="C46" s="33">
        <f t="shared" si="3"/>
        <v>56666.548962050641</v>
      </c>
      <c r="D46" s="33">
        <f t="shared" si="4"/>
        <v>33911.851037949353</v>
      </c>
      <c r="E46" s="80"/>
      <c r="F46" s="81"/>
    </row>
    <row r="47" spans="1:6" x14ac:dyDescent="0.25">
      <c r="A47">
        <f t="shared" si="7"/>
        <v>20000</v>
      </c>
      <c r="B47" s="33">
        <f t="shared" si="2"/>
        <v>46404.4</v>
      </c>
      <c r="C47" s="33">
        <f t="shared" si="3"/>
        <v>58118.830862882052</v>
      </c>
      <c r="D47" s="33">
        <f t="shared" si="4"/>
        <v>34689.969137117951</v>
      </c>
      <c r="E47" s="80"/>
      <c r="F47" s="81"/>
    </row>
    <row r="48" spans="1:6" x14ac:dyDescent="0.25">
      <c r="A48">
        <f t="shared" si="7"/>
        <v>20500</v>
      </c>
      <c r="B48" s="33">
        <f t="shared" si="2"/>
        <v>47519.6</v>
      </c>
      <c r="C48" s="33">
        <f t="shared" si="3"/>
        <v>59571.284914658623</v>
      </c>
      <c r="D48" s="33">
        <f t="shared" si="4"/>
        <v>35467.915085341374</v>
      </c>
      <c r="E48" s="80"/>
      <c r="F48" s="81"/>
    </row>
    <row r="49" spans="1:6" x14ac:dyDescent="0.25">
      <c r="A49">
        <f t="shared" si="7"/>
        <v>21000</v>
      </c>
      <c r="B49" s="33">
        <f t="shared" si="2"/>
        <v>48634.8</v>
      </c>
      <c r="C49" s="33">
        <f t="shared" si="3"/>
        <v>61023.897058590475</v>
      </c>
      <c r="D49" s="33">
        <f t="shared" si="4"/>
        <v>36245.70294140953</v>
      </c>
      <c r="E49" s="80"/>
      <c r="F49" s="81"/>
    </row>
    <row r="50" spans="1:6" x14ac:dyDescent="0.25">
      <c r="A50">
        <f t="shared" si="7"/>
        <v>21500</v>
      </c>
      <c r="B50" s="33">
        <f t="shared" si="2"/>
        <v>49750</v>
      </c>
      <c r="C50" s="33">
        <f t="shared" si="3"/>
        <v>62476.654720551589</v>
      </c>
      <c r="D50" s="33">
        <f t="shared" si="4"/>
        <v>37023.345279448411</v>
      </c>
      <c r="E50" s="80"/>
      <c r="F50" s="81"/>
    </row>
    <row r="51" spans="1:6" x14ac:dyDescent="0.25">
      <c r="A51">
        <f t="shared" si="7"/>
        <v>22000</v>
      </c>
      <c r="B51" s="33">
        <f t="shared" si="2"/>
        <v>50865.2</v>
      </c>
      <c r="C51" s="33">
        <f t="shared" si="3"/>
        <v>63929.546620826426</v>
      </c>
      <c r="D51" s="33">
        <f t="shared" si="4"/>
        <v>37800.853379173568</v>
      </c>
      <c r="E51" s="80"/>
      <c r="F51" s="81"/>
    </row>
    <row r="52" spans="1:6" x14ac:dyDescent="0.25">
      <c r="A52">
        <f t="shared" si="7"/>
        <v>22500</v>
      </c>
      <c r="B52" s="33">
        <f t="shared" si="2"/>
        <v>51980.4</v>
      </c>
      <c r="C52" s="33">
        <f t="shared" si="3"/>
        <v>65382.562612282323</v>
      </c>
      <c r="D52" s="33">
        <f t="shared" si="4"/>
        <v>38578.23738771768</v>
      </c>
      <c r="E52" s="80"/>
      <c r="F52" s="81"/>
    </row>
    <row r="53" spans="1:6" x14ac:dyDescent="0.25">
      <c r="A53">
        <f t="shared" si="7"/>
        <v>23000</v>
      </c>
      <c r="B53" s="33">
        <f t="shared" si="2"/>
        <v>53095.6</v>
      </c>
      <c r="C53" s="33">
        <f t="shared" si="3"/>
        <v>66835.693542149384</v>
      </c>
      <c r="D53" s="33">
        <f t="shared" si="4"/>
        <v>39355.506457850614</v>
      </c>
      <c r="E53" s="80"/>
      <c r="F53" s="81"/>
    </row>
    <row r="54" spans="1:6" x14ac:dyDescent="0.25">
      <c r="A54">
        <f t="shared" si="7"/>
        <v>23500</v>
      </c>
      <c r="B54" s="33">
        <f t="shared" si="2"/>
        <v>54210.8</v>
      </c>
      <c r="C54" s="33">
        <f t="shared" si="3"/>
        <v>68288.931133498176</v>
      </c>
      <c r="D54" s="33">
        <f t="shared" si="4"/>
        <v>40132.66886650183</v>
      </c>
      <c r="E54" s="80"/>
      <c r="F54" s="81"/>
    </row>
    <row r="55" spans="1:6" x14ac:dyDescent="0.25">
      <c r="A55">
        <f t="shared" si="7"/>
        <v>24000</v>
      </c>
      <c r="B55" s="33">
        <f t="shared" si="2"/>
        <v>55326</v>
      </c>
      <c r="C55" s="33">
        <f t="shared" si="3"/>
        <v>69742.267883225664</v>
      </c>
      <c r="D55" s="33">
        <f t="shared" si="4"/>
        <v>40909.732116774328</v>
      </c>
      <c r="E55" s="80"/>
      <c r="F55" s="81"/>
    </row>
    <row r="56" spans="1:6" x14ac:dyDescent="0.25">
      <c r="A56">
        <f t="shared" si="7"/>
        <v>24500</v>
      </c>
      <c r="B56" s="33">
        <f t="shared" si="2"/>
        <v>56441.2</v>
      </c>
      <c r="C56" s="33">
        <f t="shared" si="3"/>
        <v>71195.696973935614</v>
      </c>
      <c r="D56" s="33">
        <f t="shared" si="4"/>
        <v>41686.703026064381</v>
      </c>
      <c r="E56" s="80"/>
      <c r="F56" s="81"/>
    </row>
    <row r="57" spans="1:6" x14ac:dyDescent="0.25">
      <c r="A57">
        <f t="shared" si="7"/>
        <v>25000</v>
      </c>
      <c r="B57" s="33">
        <f t="shared" si="2"/>
        <v>57556.4</v>
      </c>
      <c r="C57" s="33">
        <f t="shared" si="3"/>
        <v>72649.212197560293</v>
      </c>
      <c r="D57" s="33">
        <f t="shared" si="4"/>
        <v>42463.58780243971</v>
      </c>
      <c r="E57" s="80"/>
      <c r="F57" s="81"/>
    </row>
    <row r="58" spans="1:6" x14ac:dyDescent="0.25">
      <c r="A58">
        <f t="shared" si="7"/>
        <v>25500</v>
      </c>
      <c r="B58" s="33">
        <f t="shared" si="2"/>
        <v>58671.6</v>
      </c>
      <c r="C58" s="33">
        <f t="shared" si="3"/>
        <v>74102.807888942858</v>
      </c>
      <c r="D58" s="33">
        <f t="shared" si="4"/>
        <v>43240.392111057139</v>
      </c>
      <c r="E58" s="80"/>
      <c r="F58" s="81"/>
    </row>
    <row r="59" spans="1:6" x14ac:dyDescent="0.25">
      <c r="A59">
        <f t="shared" si="7"/>
        <v>26000</v>
      </c>
      <c r="B59" s="33">
        <f t="shared" si="2"/>
        <v>59786.8</v>
      </c>
      <c r="C59" s="33">
        <f t="shared" si="3"/>
        <v>75556.478867900834</v>
      </c>
      <c r="D59" s="33">
        <f t="shared" si="4"/>
        <v>44017.121132099172</v>
      </c>
      <c r="E59" s="80"/>
      <c r="F59" s="81"/>
    </row>
    <row r="60" spans="1:6" x14ac:dyDescent="0.25">
      <c r="A60">
        <f t="shared" si="7"/>
        <v>26500</v>
      </c>
      <c r="B60" s="33">
        <f t="shared" si="2"/>
        <v>60902</v>
      </c>
      <c r="C60" s="33">
        <f t="shared" si="3"/>
        <v>77010.220388536458</v>
      </c>
      <c r="D60" s="33">
        <f t="shared" si="4"/>
        <v>44793.779611463535</v>
      </c>
      <c r="E60" s="80"/>
      <c r="F60" s="81"/>
    </row>
    <row r="61" spans="1:6" x14ac:dyDescent="0.25">
      <c r="A61">
        <f t="shared" si="7"/>
        <v>27000</v>
      </c>
      <c r="B61" s="33">
        <f t="shared" si="2"/>
        <v>62017.2</v>
      </c>
      <c r="C61" s="33">
        <f t="shared" si="3"/>
        <v>78464.028094760506</v>
      </c>
      <c r="D61" s="33">
        <f t="shared" si="4"/>
        <v>45570.371905239488</v>
      </c>
      <c r="E61" s="80"/>
      <c r="F61" s="81"/>
    </row>
    <row r="62" spans="1:6" x14ac:dyDescent="0.25">
      <c r="A62">
        <f t="shared" si="7"/>
        <v>27500</v>
      </c>
      <c r="B62" s="33">
        <f t="shared" si="2"/>
        <v>63132.4</v>
      </c>
      <c r="C62" s="33">
        <f t="shared" si="3"/>
        <v>79917.897981160524</v>
      </c>
      <c r="D62" s="33">
        <f t="shared" si="4"/>
        <v>46346.902018839486</v>
      </c>
      <c r="E62" s="80"/>
      <c r="F62" s="81"/>
    </row>
    <row r="63" spans="1:6" x14ac:dyDescent="0.25">
      <c r="A63">
        <f t="shared" si="7"/>
        <v>28000</v>
      </c>
      <c r="B63" s="33">
        <f t="shared" si="2"/>
        <v>64247.6</v>
      </c>
      <c r="C63" s="33">
        <f t="shared" si="3"/>
        <v>81371.826358480597</v>
      </c>
      <c r="D63" s="33">
        <f t="shared" si="4"/>
        <v>47123.3736415194</v>
      </c>
      <c r="E63" s="80"/>
      <c r="F63" s="81"/>
    </row>
    <row r="64" spans="1:6" x14ac:dyDescent="0.25">
      <c r="A64">
        <f t="shared" si="7"/>
        <v>28500</v>
      </c>
      <c r="B64" s="33">
        <f t="shared" si="2"/>
        <v>65362.8</v>
      </c>
      <c r="C64" s="33">
        <f t="shared" si="3"/>
        <v>82825.809823092291</v>
      </c>
      <c r="D64" s="33">
        <f t="shared" si="4"/>
        <v>47899.790176907714</v>
      </c>
      <c r="E64" s="80"/>
      <c r="F64" s="81"/>
    </row>
    <row r="65" spans="1:6" x14ac:dyDescent="0.25">
      <c r="A65">
        <f t="shared" si="7"/>
        <v>29000</v>
      </c>
      <c r="B65" s="33">
        <f t="shared" si="2"/>
        <v>66478</v>
      </c>
      <c r="C65" s="33">
        <f t="shared" si="3"/>
        <v>84279.845229929168</v>
      </c>
      <c r="D65" s="33">
        <f t="shared" si="4"/>
        <v>48676.154770070832</v>
      </c>
      <c r="E65" s="80"/>
      <c r="F65" s="81"/>
    </row>
    <row r="66" spans="1:6" x14ac:dyDescent="0.25">
      <c r="A66">
        <f t="shared" si="7"/>
        <v>29500</v>
      </c>
      <c r="B66" s="33">
        <f t="shared" si="2"/>
        <v>67593.2</v>
      </c>
      <c r="C66" s="33">
        <f t="shared" si="3"/>
        <v>85733.929668436278</v>
      </c>
      <c r="D66" s="33">
        <f t="shared" si="4"/>
        <v>49452.470331563716</v>
      </c>
      <c r="E66" s="80"/>
      <c r="F66" s="81"/>
    </row>
    <row r="67" spans="1:6" x14ac:dyDescent="0.25">
      <c r="A67">
        <f t="shared" si="7"/>
        <v>30000</v>
      </c>
      <c r="B67" s="33">
        <f t="shared" si="2"/>
        <v>68708.399999999994</v>
      </c>
      <c r="C67" s="33">
        <f t="shared" si="3"/>
        <v>87188.060441150272</v>
      </c>
      <c r="D67" s="33">
        <f t="shared" si="4"/>
        <v>50228.739558849717</v>
      </c>
      <c r="E67" s="80"/>
      <c r="F67" s="81"/>
    </row>
    <row r="68" spans="1:6" x14ac:dyDescent="0.25">
      <c r="A68">
        <f t="shared" si="7"/>
        <v>30500</v>
      </c>
      <c r="B68" s="33">
        <f t="shared" si="2"/>
        <v>69823.599999999991</v>
      </c>
      <c r="C68" s="33">
        <f t="shared" si="3"/>
        <v>88642.235044581292</v>
      </c>
      <c r="D68" s="33">
        <f t="shared" si="4"/>
        <v>51004.964955418698</v>
      </c>
      <c r="E68" s="80"/>
      <c r="F68" s="81"/>
    </row>
    <row r="69" spans="1:6" x14ac:dyDescent="0.25">
      <c r="A69">
        <f t="shared" si="7"/>
        <v>31000</v>
      </c>
      <c r="B69" s="33">
        <f t="shared" si="2"/>
        <v>70938.799999999988</v>
      </c>
      <c r="C69" s="33">
        <f t="shared" si="3"/>
        <v>90096.451152113324</v>
      </c>
      <c r="D69" s="33">
        <f t="shared" si="4"/>
        <v>51781.148847886652</v>
      </c>
      <c r="E69" s="80"/>
      <c r="F69" s="81"/>
    </row>
    <row r="70" spans="1:6" x14ac:dyDescent="0.25">
      <c r="A70">
        <f t="shared" si="7"/>
        <v>31500</v>
      </c>
      <c r="B70" s="33">
        <f t="shared" si="2"/>
        <v>72053.999999999985</v>
      </c>
      <c r="C70" s="33">
        <f t="shared" si="3"/>
        <v>91550.706598679521</v>
      </c>
      <c r="D70" s="33">
        <f t="shared" si="4"/>
        <v>52557.29340132045</v>
      </c>
      <c r="E70" s="80"/>
      <c r="F70" s="81"/>
    </row>
    <row r="71" spans="1:6" x14ac:dyDescent="0.25">
      <c r="A71">
        <f t="shared" si="7"/>
        <v>32000</v>
      </c>
      <c r="B71" s="33">
        <f t="shared" si="2"/>
        <v>73169.2</v>
      </c>
      <c r="C71" s="33">
        <f t="shared" si="3"/>
        <v>93004.999367000986</v>
      </c>
      <c r="D71" s="33">
        <f t="shared" si="4"/>
        <v>53333.400632999008</v>
      </c>
      <c r="E71" s="80"/>
      <c r="F71" s="81"/>
    </row>
    <row r="72" spans="1:6" x14ac:dyDescent="0.25">
      <c r="A72">
        <f t="shared" si="7"/>
        <v>32500</v>
      </c>
      <c r="B72" s="33">
        <f t="shared" ref="B72:B85" si="8">2.2304*A72 + 1796.4</f>
        <v>74284.399999999994</v>
      </c>
      <c r="C72" s="33">
        <f t="shared" ref="C72:C85" si="9">$B72+2*($K$4*(SQRT((1/13)+((($A72-$I$22)^2)/$M$22))))</f>
        <v>94459.327575206742</v>
      </c>
      <c r="D72" s="33">
        <f t="shared" ref="D72:D85" si="10">$B72-2*($K$4*(SQRT((1/13)+((($A72-$I$22)^2)/$M$22))))</f>
        <v>54109.472424793246</v>
      </c>
      <c r="E72" s="80"/>
      <c r="F72" s="81"/>
    </row>
    <row r="73" spans="1:6" x14ac:dyDescent="0.25">
      <c r="A73">
        <f t="shared" ref="A73:A85" si="11">A72+500</f>
        <v>33000</v>
      </c>
      <c r="B73" s="33">
        <f t="shared" si="8"/>
        <v>75399.599999999991</v>
      </c>
      <c r="C73" s="33">
        <f t="shared" si="9"/>
        <v>95913.68946567594</v>
      </c>
      <c r="D73" s="33">
        <f t="shared" si="10"/>
        <v>54885.51053432405</v>
      </c>
      <c r="E73" s="80"/>
      <c r="F73" s="81"/>
    </row>
    <row r="74" spans="1:6" x14ac:dyDescent="0.25">
      <c r="A74">
        <f t="shared" si="11"/>
        <v>33500</v>
      </c>
      <c r="B74" s="33">
        <f t="shared" si="8"/>
        <v>76514.799999999988</v>
      </c>
      <c r="C74" s="33">
        <f t="shared" si="9"/>
        <v>97368.083394963804</v>
      </c>
      <c r="D74" s="33">
        <f t="shared" si="10"/>
        <v>55661.516605036173</v>
      </c>
      <c r="E74" s="80"/>
      <c r="F74" s="81"/>
    </row>
    <row r="75" spans="1:6" x14ac:dyDescent="0.25">
      <c r="A75">
        <f t="shared" si="11"/>
        <v>34000</v>
      </c>
      <c r="B75" s="33">
        <f t="shared" si="8"/>
        <v>77629.999999999985</v>
      </c>
      <c r="C75" s="33">
        <f t="shared" si="9"/>
        <v>98822.507824690969</v>
      </c>
      <c r="D75" s="33">
        <f t="shared" si="10"/>
        <v>56437.492175309002</v>
      </c>
      <c r="E75" s="80"/>
      <c r="F75" s="81"/>
    </row>
    <row r="76" spans="1:6" x14ac:dyDescent="0.25">
      <c r="A76">
        <f t="shared" si="11"/>
        <v>34500</v>
      </c>
      <c r="B76" s="33">
        <f t="shared" si="8"/>
        <v>78745.2</v>
      </c>
      <c r="C76" s="33">
        <f t="shared" si="9"/>
        <v>100276.96131329023</v>
      </c>
      <c r="D76" s="33">
        <f t="shared" si="10"/>
        <v>57213.438686709764</v>
      </c>
      <c r="E76" s="80"/>
      <c r="F76" s="81"/>
    </row>
    <row r="77" spans="1:6" x14ac:dyDescent="0.25">
      <c r="A77">
        <f t="shared" si="11"/>
        <v>35000</v>
      </c>
      <c r="B77" s="33">
        <f t="shared" si="8"/>
        <v>79860.399999999994</v>
      </c>
      <c r="C77" s="33">
        <f t="shared" si="9"/>
        <v>101731.44250851826</v>
      </c>
      <c r="D77" s="33">
        <f t="shared" si="10"/>
        <v>57989.357491481729</v>
      </c>
      <c r="E77" s="80"/>
      <c r="F77" s="81"/>
    </row>
    <row r="78" spans="1:6" x14ac:dyDescent="0.25">
      <c r="A78">
        <f t="shared" si="11"/>
        <v>35500</v>
      </c>
      <c r="B78" s="33">
        <f t="shared" si="8"/>
        <v>80975.599999999991</v>
      </c>
      <c r="C78" s="33">
        <f t="shared" si="9"/>
        <v>103185.95014065114</v>
      </c>
      <c r="D78" s="33">
        <f t="shared" si="10"/>
        <v>58765.249859348849</v>
      </c>
      <c r="E78" s="80"/>
      <c r="F78" s="81"/>
    </row>
    <row r="79" spans="1:6" x14ac:dyDescent="0.25">
      <c r="A79">
        <f t="shared" si="11"/>
        <v>36000</v>
      </c>
      <c r="B79" s="33">
        <f t="shared" si="8"/>
        <v>82090.799999999988</v>
      </c>
      <c r="C79" s="33">
        <f t="shared" si="9"/>
        <v>104640.48301629158</v>
      </c>
      <c r="D79" s="33">
        <f t="shared" si="10"/>
        <v>59541.116983708394</v>
      </c>
      <c r="E79" s="80"/>
      <c r="F79" s="81"/>
    </row>
    <row r="80" spans="1:6" x14ac:dyDescent="0.25">
      <c r="A80">
        <f t="shared" si="11"/>
        <v>36500</v>
      </c>
      <c r="B80" s="33">
        <f t="shared" si="8"/>
        <v>83205.999999999985</v>
      </c>
      <c r="C80" s="33">
        <f t="shared" si="9"/>
        <v>106095.04001272518</v>
      </c>
      <c r="D80" s="33">
        <f t="shared" si="10"/>
        <v>60316.959987274793</v>
      </c>
      <c r="E80" s="80"/>
      <c r="F80" s="81"/>
    </row>
    <row r="81" spans="1:6" x14ac:dyDescent="0.25">
      <c r="A81">
        <f t="shared" si="11"/>
        <v>37000</v>
      </c>
      <c r="B81" s="33">
        <f t="shared" si="8"/>
        <v>84321.2</v>
      </c>
      <c r="C81" s="33">
        <f t="shared" si="9"/>
        <v>107549.62007276944</v>
      </c>
      <c r="D81" s="33">
        <f t="shared" si="10"/>
        <v>61092.779927230549</v>
      </c>
      <c r="E81" s="80"/>
      <c r="F81" s="81"/>
    </row>
    <row r="82" spans="1:6" x14ac:dyDescent="0.25">
      <c r="A82">
        <f t="shared" si="11"/>
        <v>37500</v>
      </c>
      <c r="B82" s="33">
        <f t="shared" si="8"/>
        <v>85436.4</v>
      </c>
      <c r="C82" s="33">
        <f t="shared" si="9"/>
        <v>109004.22220006635</v>
      </c>
      <c r="D82" s="33">
        <f t="shared" si="10"/>
        <v>61868.577799933642</v>
      </c>
      <c r="E82" s="80"/>
      <c r="F82" s="81"/>
    </row>
    <row r="83" spans="1:6" x14ac:dyDescent="0.25">
      <c r="A83">
        <f t="shared" si="11"/>
        <v>38000</v>
      </c>
      <c r="B83" s="33">
        <f t="shared" si="8"/>
        <v>86551.599999999991</v>
      </c>
      <c r="C83" s="33">
        <f t="shared" si="9"/>
        <v>110458.84545477458</v>
      </c>
      <c r="D83" s="33">
        <f t="shared" si="10"/>
        <v>62644.354545225404</v>
      </c>
      <c r="E83" s="80"/>
      <c r="F83" s="81"/>
    </row>
    <row r="84" spans="1:6" x14ac:dyDescent="0.25">
      <c r="A84">
        <f t="shared" si="11"/>
        <v>38500</v>
      </c>
      <c r="B84" s="33">
        <f t="shared" si="8"/>
        <v>87666.799999999988</v>
      </c>
      <c r="C84" s="33">
        <f t="shared" si="9"/>
        <v>111913.48894962232</v>
      </c>
      <c r="D84" s="33">
        <f t="shared" si="10"/>
        <v>63420.111050377651</v>
      </c>
      <c r="E84" s="80"/>
      <c r="F84" s="81"/>
    </row>
    <row r="85" spans="1:6" x14ac:dyDescent="0.25">
      <c r="A85">
        <f t="shared" si="11"/>
        <v>39000</v>
      </c>
      <c r="B85" s="33">
        <f t="shared" si="8"/>
        <v>88781.999999999985</v>
      </c>
      <c r="C85" s="33">
        <f t="shared" si="9"/>
        <v>113368.15184628601</v>
      </c>
      <c r="D85" s="33">
        <f t="shared" si="10"/>
        <v>64195.84815371396</v>
      </c>
      <c r="E85" s="80"/>
      <c r="F85" s="81"/>
    </row>
    <row r="86" spans="1:6" x14ac:dyDescent="0.25">
      <c r="F86" s="81"/>
    </row>
    <row r="87" spans="1:6" x14ac:dyDescent="0.25">
      <c r="F87" s="81"/>
    </row>
    <row r="88" spans="1:6" x14ac:dyDescent="0.25">
      <c r="F88" s="81"/>
    </row>
    <row r="89" spans="1:6" x14ac:dyDescent="0.25">
      <c r="F89" s="81"/>
    </row>
    <row r="90" spans="1:6" x14ac:dyDescent="0.25">
      <c r="F90" s="81"/>
    </row>
    <row r="91" spans="1:6" x14ac:dyDescent="0.25">
      <c r="F91" s="81"/>
    </row>
    <row r="92" spans="1:6" x14ac:dyDescent="0.25">
      <c r="F92" s="81"/>
    </row>
    <row r="93" spans="1:6" x14ac:dyDescent="0.25">
      <c r="F93" s="81"/>
    </row>
    <row r="94" spans="1:6" x14ac:dyDescent="0.25">
      <c r="F94" s="81"/>
    </row>
    <row r="95" spans="1:6" x14ac:dyDescent="0.25">
      <c r="F95" s="81"/>
    </row>
    <row r="96" spans="1:6" x14ac:dyDescent="0.25">
      <c r="F96" s="81"/>
    </row>
    <row r="97" spans="6:6" x14ac:dyDescent="0.25">
      <c r="F97" s="81"/>
    </row>
    <row r="98" spans="6:6" x14ac:dyDescent="0.25">
      <c r="F98" s="81"/>
    </row>
    <row r="99" spans="6:6" x14ac:dyDescent="0.25">
      <c r="F99" s="81"/>
    </row>
    <row r="100" spans="6:6" x14ac:dyDescent="0.25">
      <c r="F100" s="81"/>
    </row>
    <row r="101" spans="6:6" x14ac:dyDescent="0.25">
      <c r="F101" s="81"/>
    </row>
    <row r="102" spans="6:6" x14ac:dyDescent="0.25">
      <c r="F102" s="81"/>
    </row>
    <row r="103" spans="6:6" x14ac:dyDescent="0.25">
      <c r="F103" s="81"/>
    </row>
    <row r="104" spans="6:6" x14ac:dyDescent="0.25">
      <c r="F104" s="81"/>
    </row>
    <row r="105" spans="6:6" x14ac:dyDescent="0.25">
      <c r="F105" s="81"/>
    </row>
    <row r="106" spans="6:6" x14ac:dyDescent="0.25">
      <c r="F106" s="81"/>
    </row>
    <row r="107" spans="6:6" x14ac:dyDescent="0.25">
      <c r="F107" s="81"/>
    </row>
    <row r="108" spans="6:6" x14ac:dyDescent="0.25">
      <c r="F108" s="81"/>
    </row>
    <row r="109" spans="6:6" x14ac:dyDescent="0.25">
      <c r="F109" s="81"/>
    </row>
    <row r="110" spans="6:6" x14ac:dyDescent="0.25">
      <c r="F110" s="81"/>
    </row>
    <row r="111" spans="6:6" x14ac:dyDescent="0.25">
      <c r="F111" s="81"/>
    </row>
    <row r="112" spans="6:6" x14ac:dyDescent="0.25">
      <c r="F112" s="81"/>
    </row>
    <row r="113" spans="6:6" x14ac:dyDescent="0.25">
      <c r="F113" s="81"/>
    </row>
    <row r="114" spans="6:6" x14ac:dyDescent="0.25">
      <c r="F114" s="81"/>
    </row>
    <row r="115" spans="6:6" x14ac:dyDescent="0.25">
      <c r="F115" s="81"/>
    </row>
    <row r="116" spans="6:6" x14ac:dyDescent="0.25">
      <c r="F116" s="81"/>
    </row>
    <row r="117" spans="6:6" x14ac:dyDescent="0.25">
      <c r="F117" s="81"/>
    </row>
    <row r="118" spans="6:6" x14ac:dyDescent="0.25">
      <c r="F118" s="81"/>
    </row>
    <row r="119" spans="6:6" x14ac:dyDescent="0.25">
      <c r="F119" s="81"/>
    </row>
    <row r="120" spans="6:6" x14ac:dyDescent="0.25">
      <c r="F120" s="81"/>
    </row>
    <row r="121" spans="6:6" x14ac:dyDescent="0.25">
      <c r="F121" s="81"/>
    </row>
    <row r="122" spans="6:6" x14ac:dyDescent="0.25">
      <c r="F122" s="81"/>
    </row>
    <row r="123" spans="6:6" x14ac:dyDescent="0.25">
      <c r="F123" s="81"/>
    </row>
    <row r="124" spans="6:6" x14ac:dyDescent="0.25">
      <c r="F124" s="81"/>
    </row>
    <row r="125" spans="6:6" x14ac:dyDescent="0.25">
      <c r="F125" s="81"/>
    </row>
    <row r="126" spans="6:6" x14ac:dyDescent="0.25">
      <c r="F126" s="81"/>
    </row>
    <row r="127" spans="6:6" x14ac:dyDescent="0.25">
      <c r="F127" s="81"/>
    </row>
    <row r="128" spans="6:6" x14ac:dyDescent="0.25">
      <c r="F128" s="81"/>
    </row>
    <row r="129" spans="6:6" x14ac:dyDescent="0.25">
      <c r="F129" s="81"/>
    </row>
    <row r="130" spans="6:6" x14ac:dyDescent="0.25">
      <c r="F130" s="81"/>
    </row>
    <row r="131" spans="6:6" x14ac:dyDescent="0.25">
      <c r="F131" s="81"/>
    </row>
    <row r="132" spans="6:6" x14ac:dyDescent="0.25">
      <c r="F132" s="81"/>
    </row>
    <row r="133" spans="6:6" x14ac:dyDescent="0.25">
      <c r="F133" s="81"/>
    </row>
    <row r="134" spans="6:6" x14ac:dyDescent="0.25">
      <c r="F134" s="81"/>
    </row>
    <row r="135" spans="6:6" x14ac:dyDescent="0.25">
      <c r="F135" s="81"/>
    </row>
    <row r="136" spans="6:6" x14ac:dyDescent="0.25">
      <c r="F136" s="81"/>
    </row>
    <row r="137" spans="6:6" x14ac:dyDescent="0.25">
      <c r="F137" s="81"/>
    </row>
    <row r="138" spans="6:6" x14ac:dyDescent="0.25">
      <c r="F138" s="81"/>
    </row>
    <row r="139" spans="6:6" x14ac:dyDescent="0.25">
      <c r="F139" s="81"/>
    </row>
    <row r="140" spans="6:6" x14ac:dyDescent="0.25">
      <c r="F140" s="81"/>
    </row>
    <row r="141" spans="6:6" x14ac:dyDescent="0.25">
      <c r="F141" s="81"/>
    </row>
    <row r="142" spans="6:6" x14ac:dyDescent="0.25">
      <c r="F142" s="81"/>
    </row>
    <row r="143" spans="6:6" x14ac:dyDescent="0.25">
      <c r="F143" s="81"/>
    </row>
    <row r="144" spans="6:6" x14ac:dyDescent="0.25">
      <c r="F144" s="81"/>
    </row>
    <row r="145" spans="6:6" x14ac:dyDescent="0.25">
      <c r="F145" s="81"/>
    </row>
    <row r="146" spans="6:6" x14ac:dyDescent="0.25">
      <c r="F146" s="81"/>
    </row>
    <row r="147" spans="6:6" x14ac:dyDescent="0.25">
      <c r="F147" s="81"/>
    </row>
    <row r="148" spans="6:6" x14ac:dyDescent="0.25">
      <c r="F148" s="81"/>
    </row>
    <row r="149" spans="6:6" x14ac:dyDescent="0.25">
      <c r="F149" s="81"/>
    </row>
    <row r="150" spans="6:6" x14ac:dyDescent="0.25">
      <c r="F150" s="81"/>
    </row>
    <row r="151" spans="6:6" x14ac:dyDescent="0.25">
      <c r="F151" s="81"/>
    </row>
    <row r="152" spans="6:6" x14ac:dyDescent="0.25">
      <c r="F152" s="81"/>
    </row>
    <row r="153" spans="6:6" x14ac:dyDescent="0.25">
      <c r="F153" s="81"/>
    </row>
    <row r="154" spans="6:6" x14ac:dyDescent="0.25">
      <c r="F154" s="81"/>
    </row>
    <row r="155" spans="6:6" x14ac:dyDescent="0.25">
      <c r="F155" s="81"/>
    </row>
    <row r="156" spans="6:6" x14ac:dyDescent="0.25">
      <c r="F156" s="81"/>
    </row>
    <row r="157" spans="6:6" x14ac:dyDescent="0.25">
      <c r="F157" s="81"/>
    </row>
    <row r="158" spans="6:6" x14ac:dyDescent="0.25">
      <c r="F158" s="81"/>
    </row>
    <row r="159" spans="6:6" x14ac:dyDescent="0.25">
      <c r="F159" s="81"/>
    </row>
    <row r="160" spans="6:6" x14ac:dyDescent="0.25">
      <c r="F160" s="81"/>
    </row>
    <row r="161" spans="6:6" x14ac:dyDescent="0.25">
      <c r="F161" s="81"/>
    </row>
    <row r="162" spans="6:6" x14ac:dyDescent="0.25">
      <c r="F162" s="81"/>
    </row>
    <row r="163" spans="6:6" x14ac:dyDescent="0.25">
      <c r="F163" s="81"/>
    </row>
    <row r="164" spans="6:6" x14ac:dyDescent="0.25">
      <c r="F164" s="81"/>
    </row>
    <row r="165" spans="6:6" x14ac:dyDescent="0.25">
      <c r="F165" s="81"/>
    </row>
    <row r="166" spans="6:6" x14ac:dyDescent="0.25">
      <c r="F166" s="81"/>
    </row>
    <row r="167" spans="6:6" x14ac:dyDescent="0.25">
      <c r="F167" s="81"/>
    </row>
    <row r="168" spans="6:6" x14ac:dyDescent="0.25">
      <c r="F168" s="81"/>
    </row>
    <row r="169" spans="6:6" x14ac:dyDescent="0.25">
      <c r="F169" s="81"/>
    </row>
    <row r="170" spans="6:6" x14ac:dyDescent="0.25">
      <c r="F170" s="81"/>
    </row>
    <row r="171" spans="6:6" x14ac:dyDescent="0.25">
      <c r="F171" s="81"/>
    </row>
    <row r="172" spans="6:6" x14ac:dyDescent="0.25">
      <c r="F172" s="81"/>
    </row>
    <row r="173" spans="6:6" x14ac:dyDescent="0.25">
      <c r="F173" s="81"/>
    </row>
    <row r="174" spans="6:6" x14ac:dyDescent="0.25">
      <c r="F174" s="81"/>
    </row>
    <row r="175" spans="6:6" x14ac:dyDescent="0.25">
      <c r="F175" s="81"/>
    </row>
    <row r="176" spans="6:6" x14ac:dyDescent="0.25">
      <c r="F176" s="81"/>
    </row>
    <row r="177" spans="6:6" x14ac:dyDescent="0.25">
      <c r="F177" s="81"/>
    </row>
    <row r="178" spans="6:6" x14ac:dyDescent="0.25">
      <c r="F178" s="81"/>
    </row>
    <row r="179" spans="6:6" x14ac:dyDescent="0.25">
      <c r="F179" s="81"/>
    </row>
    <row r="180" spans="6:6" x14ac:dyDescent="0.25">
      <c r="F180" s="81"/>
    </row>
    <row r="181" spans="6:6" x14ac:dyDescent="0.25">
      <c r="F181" s="81"/>
    </row>
  </sheetData>
  <mergeCells count="1">
    <mergeCell ref="C5:D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N41"/>
  <sheetViews>
    <sheetView topLeftCell="A13" workbookViewId="0">
      <selection activeCell="L20" sqref="L20"/>
    </sheetView>
  </sheetViews>
  <sheetFormatPr baseColWidth="10" defaultColWidth="9.140625" defaultRowHeight="15" x14ac:dyDescent="0.25"/>
  <cols>
    <col min="2" max="2" width="13.85546875" bestFit="1" customWidth="1"/>
    <col min="4" max="4" width="13.85546875" bestFit="1" customWidth="1"/>
  </cols>
  <sheetData>
    <row r="1" spans="2:14" x14ac:dyDescent="0.25">
      <c r="B1" t="s">
        <v>269</v>
      </c>
    </row>
    <row r="2" spans="2:14" ht="15.75" thickBot="1" x14ac:dyDescent="0.3"/>
    <row r="3" spans="2:14" x14ac:dyDescent="0.25">
      <c r="B3" s="144"/>
      <c r="C3" s="145" t="s">
        <v>270</v>
      </c>
      <c r="D3" s="145">
        <v>2008</v>
      </c>
      <c r="E3" s="145">
        <v>2009</v>
      </c>
      <c r="F3" s="145">
        <v>2010</v>
      </c>
      <c r="G3" s="145">
        <v>2011</v>
      </c>
      <c r="H3" s="145">
        <v>2012</v>
      </c>
      <c r="I3" s="145">
        <v>2013</v>
      </c>
      <c r="J3" s="145">
        <v>2014</v>
      </c>
      <c r="K3" s="145">
        <v>2015</v>
      </c>
      <c r="L3" s="145">
        <v>2016</v>
      </c>
      <c r="M3" s="145">
        <v>2017</v>
      </c>
      <c r="N3" s="146">
        <v>2018</v>
      </c>
    </row>
    <row r="4" spans="2:14" x14ac:dyDescent="0.25">
      <c r="B4" s="147" t="s">
        <v>271</v>
      </c>
      <c r="C4" s="148" t="s">
        <v>272</v>
      </c>
      <c r="D4" s="149">
        <v>6433.1699096016655</v>
      </c>
      <c r="E4" s="149">
        <v>6821.4397702001488</v>
      </c>
      <c r="F4" s="149">
        <v>7233.143410221147</v>
      </c>
      <c r="G4" s="149">
        <v>7669.6951604529841</v>
      </c>
      <c r="H4" s="149">
        <v>8132.5947127152904</v>
      </c>
      <c r="I4" s="149">
        <v>8623.4322717695068</v>
      </c>
      <c r="J4" s="149">
        <v>9143.8940181696926</v>
      </c>
      <c r="K4" s="149">
        <v>9695.767900820163</v>
      </c>
      <c r="L4" s="149">
        <v>10280.949779139277</v>
      </c>
      <c r="M4" s="149">
        <v>10901.449935929566</v>
      </c>
      <c r="N4" s="150">
        <v>11559.39998332802</v>
      </c>
    </row>
    <row r="5" spans="2:14" x14ac:dyDescent="0.25">
      <c r="B5" s="147" t="s">
        <v>273</v>
      </c>
      <c r="C5" s="148" t="s">
        <v>272</v>
      </c>
      <c r="D5" s="149">
        <v>13983.642611633777</v>
      </c>
      <c r="E5" s="149">
        <v>16447.326157784501</v>
      </c>
      <c r="F5" s="149">
        <v>19345.06946820037</v>
      </c>
      <c r="G5" s="149">
        <v>22753.346601105415</v>
      </c>
      <c r="H5" s="149">
        <v>26762.105062535975</v>
      </c>
      <c r="I5" s="149">
        <v>31477.139602111038</v>
      </c>
      <c r="J5" s="149">
        <v>37022.88423184667</v>
      </c>
      <c r="K5" s="149">
        <v>43545.696151908094</v>
      </c>
      <c r="L5" s="149">
        <v>51217.718249060388</v>
      </c>
      <c r="M5" s="149">
        <v>60241.422102633849</v>
      </c>
      <c r="N5" s="150">
        <v>70854.95139202688</v>
      </c>
    </row>
    <row r="6" spans="2:14" x14ac:dyDescent="0.25">
      <c r="B6" s="147" t="s">
        <v>274</v>
      </c>
      <c r="C6" s="148" t="s">
        <v>272</v>
      </c>
      <c r="D6" s="149">
        <v>8730.5384924978989</v>
      </c>
      <c r="E6" s="149">
        <v>9173.4627956417753</v>
      </c>
      <c r="F6" s="149">
        <v>9638.8578706039116</v>
      </c>
      <c r="G6" s="149">
        <v>10127.863721630016</v>
      </c>
      <c r="H6" s="149">
        <v>10641.678188526163</v>
      </c>
      <c r="I6" s="149">
        <v>11181.559880816343</v>
      </c>
      <c r="J6" s="149">
        <v>11748.83126075789</v>
      </c>
      <c r="K6" s="149">
        <v>12344.881882766806</v>
      </c>
      <c r="L6" s="149">
        <v>12971.171797188055</v>
      </c>
      <c r="M6" s="149">
        <v>13629.235126748525</v>
      </c>
      <c r="N6" s="150">
        <v>14320.683824453301</v>
      </c>
    </row>
    <row r="7" spans="2:14" x14ac:dyDescent="0.25">
      <c r="B7" s="147" t="s">
        <v>275</v>
      </c>
      <c r="C7" s="148" t="s">
        <v>276</v>
      </c>
      <c r="D7" s="149">
        <v>2867</v>
      </c>
      <c r="E7" s="149">
        <v>2852</v>
      </c>
      <c r="F7" s="149">
        <v>2837</v>
      </c>
      <c r="G7" s="149">
        <v>2822</v>
      </c>
      <c r="H7" s="149">
        <v>2807</v>
      </c>
      <c r="I7" s="149">
        <v>2792</v>
      </c>
      <c r="J7" s="149">
        <v>2777</v>
      </c>
      <c r="K7" s="149">
        <v>2762</v>
      </c>
      <c r="L7" s="149">
        <v>2747</v>
      </c>
      <c r="M7" s="149">
        <v>2732</v>
      </c>
      <c r="N7" s="150">
        <v>2717</v>
      </c>
    </row>
    <row r="8" spans="2:14" x14ac:dyDescent="0.25">
      <c r="B8" s="147" t="s">
        <v>277</v>
      </c>
      <c r="C8" s="148" t="s">
        <v>272</v>
      </c>
      <c r="D8" s="149">
        <v>12610.339170207459</v>
      </c>
      <c r="E8" s="149">
        <v>13825.478524401715</v>
      </c>
      <c r="F8" s="149">
        <v>15157.709388204219</v>
      </c>
      <c r="G8" s="149">
        <v>16618.314765144583</v>
      </c>
      <c r="H8" s="149">
        <v>18219.66489529992</v>
      </c>
      <c r="I8" s="149">
        <v>19975.322022018288</v>
      </c>
      <c r="J8" s="149">
        <v>21900.155254022331</v>
      </c>
      <c r="K8" s="149">
        <v>24010.466495689663</v>
      </c>
      <c r="L8" s="149">
        <v>26324.128512045652</v>
      </c>
      <c r="M8" s="149">
        <v>28860.736297776413</v>
      </c>
      <c r="N8" s="150">
        <v>31641.773032244655</v>
      </c>
    </row>
    <row r="9" spans="2:14" x14ac:dyDescent="0.25">
      <c r="B9" s="147" t="s">
        <v>278</v>
      </c>
      <c r="C9" s="148" t="s">
        <v>276</v>
      </c>
      <c r="D9" s="149">
        <v>5346.5</v>
      </c>
      <c r="E9" s="149">
        <v>5438</v>
      </c>
      <c r="F9" s="149">
        <v>5529.5</v>
      </c>
      <c r="G9" s="149">
        <v>5621</v>
      </c>
      <c r="H9" s="149">
        <v>5712.5</v>
      </c>
      <c r="I9" s="149">
        <v>5804</v>
      </c>
      <c r="J9" s="149">
        <v>5895.5</v>
      </c>
      <c r="K9" s="149">
        <v>5987</v>
      </c>
      <c r="L9" s="149">
        <v>6078.5</v>
      </c>
      <c r="M9" s="149">
        <v>6170</v>
      </c>
      <c r="N9" s="150">
        <v>6261.5</v>
      </c>
    </row>
    <row r="10" spans="2:14" x14ac:dyDescent="0.25">
      <c r="B10" s="147" t="s">
        <v>279</v>
      </c>
      <c r="C10" s="148" t="s">
        <v>272</v>
      </c>
      <c r="D10" s="149">
        <v>1363.4630840076356</v>
      </c>
      <c r="E10" s="149">
        <v>1407.2911290322581</v>
      </c>
      <c r="F10" s="149">
        <v>1452.528011269425</v>
      </c>
      <c r="G10" s="149">
        <v>1499.2190172996879</v>
      </c>
      <c r="H10" s="149">
        <v>1547.410889424928</v>
      </c>
      <c r="I10" s="149">
        <v>1597.1518724620064</v>
      </c>
      <c r="J10" s="149">
        <v>1648.4917620405886</v>
      </c>
      <c r="K10" s="149">
        <v>1701.4819544534764</v>
      </c>
      <c r="L10" s="149">
        <v>1756.1754981093693</v>
      </c>
      <c r="M10" s="149">
        <v>1812.6271466395503</v>
      </c>
      <c r="N10" s="150">
        <v>1870.8934137116751</v>
      </c>
    </row>
    <row r="11" spans="2:14" x14ac:dyDescent="0.25">
      <c r="B11" s="147" t="s">
        <v>280</v>
      </c>
      <c r="C11" s="148" t="s">
        <v>272</v>
      </c>
      <c r="D11" s="149">
        <v>7980.0471200896081</v>
      </c>
      <c r="E11" s="149">
        <v>8960.3422032996277</v>
      </c>
      <c r="F11" s="149">
        <v>10061.05994012362</v>
      </c>
      <c r="G11" s="149">
        <v>11296.993443116984</v>
      </c>
      <c r="H11" s="149">
        <v>12684.753059155324</v>
      </c>
      <c r="I11" s="149">
        <v>14242.989604440732</v>
      </c>
      <c r="J11" s="149">
        <v>15992.645022426268</v>
      </c>
      <c r="K11" s="149">
        <v>17957.233833379505</v>
      </c>
      <c r="L11" s="149">
        <v>20163.159158130831</v>
      </c>
      <c r="M11" s="149">
        <v>22640.067563212375</v>
      </c>
      <c r="N11" s="150">
        <v>25421.247496334188</v>
      </c>
    </row>
    <row r="12" spans="2:14" x14ac:dyDescent="0.25">
      <c r="B12" s="147" t="s">
        <v>281</v>
      </c>
      <c r="C12" s="148" t="s">
        <v>276</v>
      </c>
      <c r="D12" s="149">
        <v>4006</v>
      </c>
      <c r="E12" s="149">
        <v>3957</v>
      </c>
      <c r="F12" s="149">
        <v>3908</v>
      </c>
      <c r="G12" s="149">
        <v>3859</v>
      </c>
      <c r="H12" s="149">
        <v>3810</v>
      </c>
      <c r="I12" s="149">
        <v>3761</v>
      </c>
      <c r="J12" s="149">
        <v>3712</v>
      </c>
      <c r="K12" s="149">
        <v>3663</v>
      </c>
      <c r="L12" s="149">
        <v>3614</v>
      </c>
      <c r="M12" s="149">
        <v>3565</v>
      </c>
      <c r="N12" s="150">
        <v>3516</v>
      </c>
    </row>
    <row r="13" spans="2:14" x14ac:dyDescent="0.25">
      <c r="B13" s="147" t="s">
        <v>282</v>
      </c>
      <c r="C13" s="148" t="s">
        <v>272</v>
      </c>
      <c r="D13" s="149">
        <v>4671.2896868884709</v>
      </c>
      <c r="E13" s="149">
        <v>5226.5742128935526</v>
      </c>
      <c r="F13" s="149">
        <v>5847.8663996279956</v>
      </c>
      <c r="G13" s="149">
        <v>6543.0126953015233</v>
      </c>
      <c r="H13" s="149">
        <v>7320.7922693993642</v>
      </c>
      <c r="I13" s="149">
        <v>8191.0278869216972</v>
      </c>
      <c r="J13" s="149">
        <v>9164.7099624414823</v>
      </c>
      <c r="K13" s="149">
        <v>10254.135360689081</v>
      </c>
      <c r="L13" s="149">
        <v>11473.06269660965</v>
      </c>
      <c r="M13" s="149">
        <v>12836.886096214967</v>
      </c>
      <c r="N13" s="150">
        <v>14362.829612697238</v>
      </c>
    </row>
    <row r="14" spans="2:14" x14ac:dyDescent="0.25">
      <c r="B14" s="147" t="s">
        <v>283</v>
      </c>
      <c r="C14" s="148" t="s">
        <v>276</v>
      </c>
      <c r="D14" s="149">
        <v>8471</v>
      </c>
      <c r="E14" s="149">
        <v>8107</v>
      </c>
      <c r="F14" s="149">
        <v>7743</v>
      </c>
      <c r="G14" s="149">
        <v>7379</v>
      </c>
      <c r="H14" s="149">
        <v>7015</v>
      </c>
      <c r="I14" s="149">
        <v>6651</v>
      </c>
      <c r="J14" s="149">
        <v>6287</v>
      </c>
      <c r="K14" s="149">
        <v>5923</v>
      </c>
      <c r="L14" s="149">
        <v>5559</v>
      </c>
      <c r="M14" s="149">
        <v>5195</v>
      </c>
      <c r="N14" s="150">
        <v>4831</v>
      </c>
    </row>
    <row r="15" spans="2:14" x14ac:dyDescent="0.25">
      <c r="B15" s="147" t="s">
        <v>284</v>
      </c>
      <c r="C15" s="148" t="s">
        <v>272</v>
      </c>
      <c r="D15" s="149">
        <v>26020.089668738201</v>
      </c>
      <c r="E15" s="149">
        <v>27570.349243359393</v>
      </c>
      <c r="F15" s="149">
        <v>29212.97224867206</v>
      </c>
      <c r="G15" s="149">
        <v>30953.461636226239</v>
      </c>
      <c r="H15" s="149">
        <v>32797.648219752198</v>
      </c>
      <c r="I15" s="149">
        <v>34751.710208970318</v>
      </c>
      <c r="J15" s="149">
        <v>36822.193907212299</v>
      </c>
      <c r="K15" s="149">
        <v>39016.03564219283</v>
      </c>
      <c r="L15" s="149">
        <v>41340.585003402026</v>
      </c>
      <c r="M15" s="149">
        <v>43803.629463966041</v>
      </c>
      <c r="N15" s="150">
        <v>46413.420469462049</v>
      </c>
    </row>
    <row r="16" spans="2:14" x14ac:dyDescent="0.25">
      <c r="B16" s="147" t="s">
        <v>285</v>
      </c>
      <c r="C16" s="148" t="s">
        <v>276</v>
      </c>
      <c r="D16" s="149">
        <v>4522.5100007367155</v>
      </c>
      <c r="E16" s="149">
        <v>4517.0266578541532</v>
      </c>
      <c r="F16" s="149">
        <v>4511.5499632817464</v>
      </c>
      <c r="G16" s="149">
        <v>4506.0799089587144</v>
      </c>
      <c r="H16" s="149">
        <v>4500.6164868340493</v>
      </c>
      <c r="I16" s="149">
        <v>4495.1596888665035</v>
      </c>
      <c r="J16" s="149">
        <v>4489.7095070245814</v>
      </c>
      <c r="K16" s="149">
        <v>4484.2659332865242</v>
      </c>
      <c r="L16" s="149">
        <v>4478.8289596402965</v>
      </c>
      <c r="M16" s="149">
        <v>4473.3985780835819</v>
      </c>
      <c r="N16" s="150">
        <v>4467.9747806237638</v>
      </c>
    </row>
    <row r="17" spans="2:14" x14ac:dyDescent="0.25">
      <c r="B17" s="147" t="s">
        <v>286</v>
      </c>
      <c r="C17" s="148" t="s">
        <v>272</v>
      </c>
      <c r="D17" s="149">
        <v>2342.7283215685179</v>
      </c>
      <c r="E17" s="149">
        <v>2422.0547169811321</v>
      </c>
      <c r="F17" s="149">
        <v>2504.0671588086143</v>
      </c>
      <c r="G17" s="149">
        <v>2588.8565984336065</v>
      </c>
      <c r="H17" s="149">
        <v>2676.5170669152449</v>
      </c>
      <c r="I17" s="149">
        <v>2767.1457792691281</v>
      </c>
      <c r="J17" s="149">
        <v>2860.8432422782762</v>
      </c>
      <c r="K17" s="149">
        <v>2957.7133659546439</v>
      </c>
      <c r="L17" s="149">
        <v>3057.8635787747994</v>
      </c>
      <c r="M17" s="149">
        <v>3161.4049468175581</v>
      </c>
      <c r="N17" s="150">
        <v>3268.4522969357054</v>
      </c>
    </row>
    <row r="18" spans="2:14" x14ac:dyDescent="0.25">
      <c r="B18" s="147" t="s">
        <v>287</v>
      </c>
      <c r="C18" s="148" t="s">
        <v>272</v>
      </c>
      <c r="D18" s="149">
        <v>9473.5784876962898</v>
      </c>
      <c r="E18" s="149">
        <v>11670.83086639037</v>
      </c>
      <c r="F18" s="149">
        <v>14377.702500569267</v>
      </c>
      <c r="G18" s="149">
        <v>17712.391822092352</v>
      </c>
      <c r="H18" s="149">
        <v>21820.511590561997</v>
      </c>
      <c r="I18" s="149">
        <v>26881.447229502704</v>
      </c>
      <c r="J18" s="149">
        <v>33116.189881867336</v>
      </c>
      <c r="K18" s="149">
        <v>40796.986223579202</v>
      </c>
      <c r="L18" s="149">
        <v>50259.226404491768</v>
      </c>
      <c r="M18" s="149">
        <v>61916.089216365515</v>
      </c>
      <c r="N18" s="150">
        <v>76276.583984713201</v>
      </c>
    </row>
    <row r="19" spans="2:14" x14ac:dyDescent="0.25">
      <c r="B19" s="147" t="s">
        <v>288</v>
      </c>
      <c r="C19" s="148" t="s">
        <v>272</v>
      </c>
      <c r="D19" s="149">
        <v>8889.5594100630733</v>
      </c>
      <c r="E19" s="149">
        <v>9047.8894555805946</v>
      </c>
      <c r="F19" s="149">
        <v>9209.0394837493604</v>
      </c>
      <c r="G19" s="149">
        <v>9373.0597206785551</v>
      </c>
      <c r="H19" s="149">
        <v>9540.0012870438768</v>
      </c>
      <c r="I19" s="149">
        <v>9709.9162140204589</v>
      </c>
      <c r="J19" s="149">
        <v>9882.857459499608</v>
      </c>
      <c r="K19" s="149">
        <v>10058.878924594317</v>
      </c>
      <c r="L19" s="149">
        <v>10238.035470438806</v>
      </c>
      <c r="M19" s="149">
        <v>10420.382935287245</v>
      </c>
      <c r="N19" s="150">
        <v>10605.978151917036</v>
      </c>
    </row>
    <row r="20" spans="2:14" ht="15.75" thickBot="1" x14ac:dyDescent="0.3">
      <c r="B20" s="151"/>
      <c r="C20" s="152"/>
      <c r="D20" s="152" t="s">
        <v>225</v>
      </c>
      <c r="E20" s="152">
        <v>9732.6097696898942</v>
      </c>
      <c r="F20" s="152">
        <v>11125.000109912537</v>
      </c>
      <c r="G20" s="152">
        <v>12754.229247108917</v>
      </c>
      <c r="H20" s="152">
        <v>14665.498637723678</v>
      </c>
      <c r="I20" s="152">
        <v>16913.208533004392</v>
      </c>
      <c r="J20" s="152">
        <v>19562.903248418297</v>
      </c>
      <c r="K20" s="152">
        <v>22693.63815972727</v>
      </c>
      <c r="L20" s="152">
        <v>26400.861437716609</v>
      </c>
      <c r="M20" s="152">
        <v>30799.9243026443</v>
      </c>
      <c r="N20" s="153">
        <v>36030.359028772567</v>
      </c>
    </row>
    <row r="23" spans="2:14" ht="15.75" thickBot="1" x14ac:dyDescent="0.3">
      <c r="B23" t="s">
        <v>289</v>
      </c>
    </row>
    <row r="24" spans="2:14" x14ac:dyDescent="0.25">
      <c r="B24" s="154"/>
      <c r="C24" s="155">
        <v>2009</v>
      </c>
      <c r="D24" s="155">
        <v>2010</v>
      </c>
      <c r="E24" s="155">
        <v>2011</v>
      </c>
      <c r="F24" s="155">
        <v>2012</v>
      </c>
      <c r="G24" s="155">
        <v>2013</v>
      </c>
      <c r="H24" s="155">
        <v>2014</v>
      </c>
      <c r="I24" s="155">
        <v>2015</v>
      </c>
      <c r="J24" s="155">
        <v>2016</v>
      </c>
      <c r="K24" s="155">
        <v>2017</v>
      </c>
      <c r="L24" s="155">
        <v>2018</v>
      </c>
      <c r="M24" s="156" t="s">
        <v>290</v>
      </c>
    </row>
    <row r="25" spans="2:14" x14ac:dyDescent="0.25">
      <c r="B25" s="157" t="s">
        <v>271</v>
      </c>
      <c r="C25" s="158">
        <v>994.32228050046933</v>
      </c>
      <c r="D25" s="158">
        <v>1046.5896398486111</v>
      </c>
      <c r="E25" s="158">
        <v>1102.0115622835526</v>
      </c>
      <c r="F25" s="158">
        <v>1160.7784394453777</v>
      </c>
      <c r="G25" s="158">
        <v>1223.0921539399592</v>
      </c>
      <c r="H25" s="158">
        <v>1289.1667728689397</v>
      </c>
      <c r="I25" s="158">
        <v>1359.2292832170986</v>
      </c>
      <c r="J25" s="158">
        <v>1433.5203716237204</v>
      </c>
      <c r="K25" s="158">
        <v>1512.2952512164272</v>
      </c>
      <c r="L25" s="158">
        <v>1595.8245383481853</v>
      </c>
      <c r="M25" s="159">
        <v>12716.83029329234</v>
      </c>
    </row>
    <row r="26" spans="2:14" x14ac:dyDescent="0.25">
      <c r="B26" s="157" t="s">
        <v>273</v>
      </c>
      <c r="C26" s="158">
        <v>5623.3832161251994</v>
      </c>
      <c r="D26" s="158">
        <v>6591.5222972509091</v>
      </c>
      <c r="E26" s="158">
        <v>7730.2312642638972</v>
      </c>
      <c r="F26" s="158">
        <v>9069.5616733287625</v>
      </c>
      <c r="G26" s="158">
        <v>10644.859661322427</v>
      </c>
      <c r="H26" s="158">
        <v>12497.698762250095</v>
      </c>
      <c r="I26" s="158">
        <v>14676.977070285508</v>
      </c>
      <c r="J26" s="158">
        <v>17240.20770455696</v>
      </c>
      <c r="K26" s="160">
        <v>17565.21</v>
      </c>
      <c r="L26" s="160">
        <v>17565.21</v>
      </c>
      <c r="M26" s="159">
        <v>119204.86164938376</v>
      </c>
    </row>
    <row r="27" spans="2:14" x14ac:dyDescent="0.25">
      <c r="B27" s="157" t="s">
        <v>274</v>
      </c>
      <c r="C27" s="158">
        <v>1116.2250831592587</v>
      </c>
      <c r="D27" s="158">
        <v>1166.3445233177956</v>
      </c>
      <c r="E27" s="158">
        <v>1219.0066609428613</v>
      </c>
      <c r="F27" s="158">
        <v>1274.3404940915891</v>
      </c>
      <c r="G27" s="158">
        <v>1332.4815652484651</v>
      </c>
      <c r="H27" s="158">
        <v>1393.5722933421107</v>
      </c>
      <c r="I27" s="158">
        <v>1457.7623226063226</v>
      </c>
      <c r="J27" s="158">
        <v>1525.2088891396943</v>
      </c>
      <c r="K27" s="158">
        <v>1596.0772060618758</v>
      </c>
      <c r="L27" s="158">
        <v>1670.5408682098587</v>
      </c>
      <c r="M27" s="159">
        <v>13751.559906119832</v>
      </c>
    </row>
    <row r="28" spans="2:14" x14ac:dyDescent="0.25">
      <c r="B28" s="157" t="s">
        <v>275</v>
      </c>
      <c r="C28" s="158">
        <v>0</v>
      </c>
      <c r="D28" s="158">
        <v>0</v>
      </c>
      <c r="E28" s="158">
        <v>0</v>
      </c>
      <c r="F28" s="158">
        <v>0</v>
      </c>
      <c r="G28" s="158">
        <v>0</v>
      </c>
      <c r="H28" s="158">
        <v>0</v>
      </c>
      <c r="I28" s="158">
        <v>0</v>
      </c>
      <c r="J28" s="158">
        <v>0</v>
      </c>
      <c r="K28" s="158">
        <v>0</v>
      </c>
      <c r="L28" s="158">
        <v>0</v>
      </c>
      <c r="M28" s="159">
        <v>0</v>
      </c>
    </row>
    <row r="29" spans="2:14" x14ac:dyDescent="0.25">
      <c r="B29" s="157" t="s">
        <v>277</v>
      </c>
      <c r="C29" s="158">
        <v>2838.5952070546341</v>
      </c>
      <c r="D29" s="158">
        <v>3099.7593965336309</v>
      </c>
      <c r="E29" s="158">
        <v>3386.0895137691205</v>
      </c>
      <c r="F29" s="158">
        <v>3700.0105616724991</v>
      </c>
      <c r="G29" s="158">
        <v>4044.1812177956626</v>
      </c>
      <c r="H29" s="158">
        <v>4421.5163513503367</v>
      </c>
      <c r="I29" s="158">
        <v>4835.2117099801508</v>
      </c>
      <c r="J29" s="158">
        <v>5288.7709853637552</v>
      </c>
      <c r="K29" s="158">
        <v>5786.0354868749064</v>
      </c>
      <c r="L29" s="158">
        <v>6331.2166746126277</v>
      </c>
      <c r="M29" s="159">
        <v>43731.387105007321</v>
      </c>
    </row>
    <row r="30" spans="2:14" x14ac:dyDescent="0.25">
      <c r="B30" s="157" t="s">
        <v>278</v>
      </c>
      <c r="C30" s="158">
        <v>332.39845387710636</v>
      </c>
      <c r="D30" s="158">
        <v>332.39845387710636</v>
      </c>
      <c r="E30" s="158">
        <v>332.39845387710636</v>
      </c>
      <c r="F30" s="158">
        <v>332.39845387710636</v>
      </c>
      <c r="G30" s="158">
        <v>332.39845387710636</v>
      </c>
      <c r="H30" s="158">
        <v>332.39845387710636</v>
      </c>
      <c r="I30" s="158">
        <v>332.39845387710636</v>
      </c>
      <c r="J30" s="158">
        <v>332.39845387710636</v>
      </c>
      <c r="K30" s="158">
        <v>332.39845387710636</v>
      </c>
      <c r="L30" s="158">
        <v>332.39845387710636</v>
      </c>
      <c r="M30" s="159">
        <v>3323.9845387710643</v>
      </c>
    </row>
    <row r="31" spans="2:14" x14ac:dyDescent="0.25">
      <c r="B31" s="157" t="s">
        <v>279</v>
      </c>
      <c r="C31" s="158">
        <v>226.06958747442488</v>
      </c>
      <c r="D31" s="158">
        <v>229.21189753561541</v>
      </c>
      <c r="E31" s="158">
        <v>232.45521605714328</v>
      </c>
      <c r="F31" s="158">
        <v>235.80278992071888</v>
      </c>
      <c r="G31" s="158">
        <v>239.2579703779264</v>
      </c>
      <c r="H31" s="158">
        <v>242.82421640517109</v>
      </c>
      <c r="I31" s="158">
        <v>246.50509816643898</v>
      </c>
      <c r="J31" s="158">
        <v>250.30430058739847</v>
      </c>
      <c r="K31" s="158">
        <v>254.22562704436132</v>
      </c>
      <c r="L31" s="158">
        <v>258.27300317185211</v>
      </c>
      <c r="M31" s="159">
        <v>2414.9297067410507</v>
      </c>
    </row>
    <row r="32" spans="2:14" x14ac:dyDescent="0.25">
      <c r="B32" s="157" t="s">
        <v>280</v>
      </c>
      <c r="C32" s="158">
        <v>2314.7919535942847</v>
      </c>
      <c r="D32" s="158">
        <v>2583.3860201600446</v>
      </c>
      <c r="E32" s="158">
        <v>2884.9750601728847</v>
      </c>
      <c r="F32" s="158">
        <v>3223.6122840655426</v>
      </c>
      <c r="G32" s="158">
        <v>3603.8488118943947</v>
      </c>
      <c r="H32" s="158">
        <v>4030.7948381858741</v>
      </c>
      <c r="I32" s="158">
        <v>4510.1883104724966</v>
      </c>
      <c r="J32" s="158">
        <v>5048.472044524935</v>
      </c>
      <c r="K32" s="158">
        <v>5652.8803126712874</v>
      </c>
      <c r="L32" s="158">
        <v>6331.5360689087611</v>
      </c>
      <c r="M32" s="159">
        <v>40184.485704650506</v>
      </c>
    </row>
    <row r="33" spans="2:13" x14ac:dyDescent="0.25">
      <c r="B33" s="157" t="s">
        <v>281</v>
      </c>
      <c r="C33" s="158">
        <v>0</v>
      </c>
      <c r="D33" s="158">
        <v>0</v>
      </c>
      <c r="E33" s="158">
        <v>0</v>
      </c>
      <c r="F33" s="158">
        <v>0</v>
      </c>
      <c r="G33" s="158">
        <v>0</v>
      </c>
      <c r="H33" s="158">
        <v>0</v>
      </c>
      <c r="I33" s="158">
        <v>0</v>
      </c>
      <c r="J33" s="158">
        <v>0</v>
      </c>
      <c r="K33" s="158">
        <v>0</v>
      </c>
      <c r="L33" s="158">
        <v>0</v>
      </c>
      <c r="M33" s="159">
        <v>0</v>
      </c>
    </row>
    <row r="34" spans="2:13" x14ac:dyDescent="0.25">
      <c r="B34" s="157" t="s">
        <v>282</v>
      </c>
      <c r="C34" s="158">
        <v>1366.8364778829553</v>
      </c>
      <c r="D34" s="158">
        <v>1514.0618170340524</v>
      </c>
      <c r="E34" s="158">
        <v>1678.78809450115</v>
      </c>
      <c r="F34" s="158">
        <v>1863.0956779961523</v>
      </c>
      <c r="G34" s="158">
        <v>2069.3122322465688</v>
      </c>
      <c r="H34" s="158">
        <v>2300.0421156323628</v>
      </c>
      <c r="I34" s="158">
        <v>2558.199271253201</v>
      </c>
      <c r="J34" s="158">
        <v>2847.0440278156234</v>
      </c>
      <c r="K34" s="158">
        <v>3170.2242751070862</v>
      </c>
      <c r="L34" s="158">
        <v>3531.8215340720326</v>
      </c>
      <c r="M34" s="159">
        <v>22899.425523541184</v>
      </c>
    </row>
    <row r="35" spans="2:13" x14ac:dyDescent="0.25">
      <c r="B35" s="157" t="s">
        <v>283</v>
      </c>
      <c r="C35" s="158">
        <v>0</v>
      </c>
      <c r="D35" s="158">
        <v>0</v>
      </c>
      <c r="E35" s="158">
        <v>0</v>
      </c>
      <c r="F35" s="158">
        <v>0</v>
      </c>
      <c r="G35" s="158">
        <v>0</v>
      </c>
      <c r="H35" s="158">
        <v>0</v>
      </c>
      <c r="I35" s="158">
        <v>0</v>
      </c>
      <c r="J35" s="158">
        <v>0</v>
      </c>
      <c r="K35" s="158">
        <v>0</v>
      </c>
      <c r="L35" s="158">
        <v>0</v>
      </c>
      <c r="M35" s="159">
        <v>0</v>
      </c>
    </row>
    <row r="36" spans="2:13" x14ac:dyDescent="0.25">
      <c r="B36" s="157" t="s">
        <v>284</v>
      </c>
      <c r="C36" s="158">
        <v>3586.056752632473</v>
      </c>
      <c r="D36" s="158">
        <v>3792.0667408437748</v>
      </c>
      <c r="E36" s="158">
        <v>4010.350666645561</v>
      </c>
      <c r="F36" s="158">
        <v>4241.6398030468499</v>
      </c>
      <c r="G36" s="158">
        <v>4486.7089918144684</v>
      </c>
      <c r="H36" s="158">
        <v>4746.3792392705163</v>
      </c>
      <c r="I36" s="158">
        <v>5021.520466745772</v>
      </c>
      <c r="J36" s="158">
        <v>5313.054424903301</v>
      </c>
      <c r="K36" s="158">
        <v>5621.9577816951642</v>
      </c>
      <c r="L36" s="158">
        <v>5949.2653942985944</v>
      </c>
      <c r="M36" s="159">
        <v>46769.000261896479</v>
      </c>
    </row>
    <row r="37" spans="2:13" x14ac:dyDescent="0.25">
      <c r="B37" s="157" t="s">
        <v>285</v>
      </c>
      <c r="C37" s="158">
        <v>0</v>
      </c>
      <c r="D37" s="158">
        <v>0</v>
      </c>
      <c r="E37" s="158">
        <v>0</v>
      </c>
      <c r="F37" s="158">
        <v>0</v>
      </c>
      <c r="G37" s="158">
        <v>0</v>
      </c>
      <c r="H37" s="158">
        <v>0</v>
      </c>
      <c r="I37" s="158">
        <v>0</v>
      </c>
      <c r="J37" s="158">
        <v>0</v>
      </c>
      <c r="K37" s="158">
        <v>0</v>
      </c>
      <c r="L37" s="158">
        <v>0</v>
      </c>
      <c r="M37" s="159">
        <v>0</v>
      </c>
    </row>
    <row r="38" spans="2:13" x14ac:dyDescent="0.25">
      <c r="B38" s="157" t="s">
        <v>286</v>
      </c>
      <c r="C38" s="158">
        <v>305.2461045245409</v>
      </c>
      <c r="D38" s="158">
        <v>311.2371378384762</v>
      </c>
      <c r="E38" s="158">
        <v>317.43103166902046</v>
      </c>
      <c r="F38" s="158">
        <v>323.83465501306534</v>
      </c>
      <c r="G38" s="158">
        <v>330.45510945646936</v>
      </c>
      <c r="H38" s="158">
        <v>337.29973704968086</v>
      </c>
      <c r="I38" s="158">
        <v>344.37612845003503</v>
      </c>
      <c r="J38" s="158">
        <v>351.69213133975995</v>
      </c>
      <c r="K38" s="158">
        <v>359.25585912900556</v>
      </c>
      <c r="L38" s="158">
        <v>367.07569995358961</v>
      </c>
      <c r="M38" s="159">
        <v>3347.9035944236439</v>
      </c>
    </row>
    <row r="39" spans="2:13" x14ac:dyDescent="0.25">
      <c r="B39" s="157" t="s">
        <v>287</v>
      </c>
      <c r="C39" s="158">
        <v>5029.1276622122132</v>
      </c>
      <c r="D39" s="158">
        <v>6165.7967533092051</v>
      </c>
      <c r="E39" s="158">
        <v>7566.0989443424778</v>
      </c>
      <c r="F39" s="158">
        <v>9291.1799213576414</v>
      </c>
      <c r="G39" s="158">
        <v>11416.367181875899</v>
      </c>
      <c r="H39" s="158">
        <v>14034.459290272691</v>
      </c>
      <c r="I39" s="158">
        <v>17259.77802589245</v>
      </c>
      <c r="J39" s="160">
        <v>17565.21</v>
      </c>
      <c r="K39" s="160">
        <v>17565.21</v>
      </c>
      <c r="L39" s="160">
        <v>17565.21</v>
      </c>
      <c r="M39" s="159">
        <v>123458.43777926255</v>
      </c>
    </row>
    <row r="40" spans="2:13" x14ac:dyDescent="0.25">
      <c r="B40" s="157" t="s">
        <v>288</v>
      </c>
      <c r="C40" s="158">
        <v>481.45806314187985</v>
      </c>
      <c r="D40" s="158">
        <v>487.74783159666492</v>
      </c>
      <c r="E40" s="158">
        <v>494.14962577508845</v>
      </c>
      <c r="F40" s="158">
        <v>500.66544094341145</v>
      </c>
      <c r="G40" s="158">
        <v>507.29730790512929</v>
      </c>
      <c r="H40" s="158">
        <v>514.04729363400497</v>
      </c>
      <c r="I40" s="158">
        <v>520.91750191816209</v>
      </c>
      <c r="J40" s="158">
        <v>527.91007401589059</v>
      </c>
      <c r="K40" s="158">
        <v>535.02718932295056</v>
      </c>
      <c r="L40" s="158">
        <v>542.27106605187305</v>
      </c>
      <c r="M40" s="159">
        <v>5111.4913943050551</v>
      </c>
    </row>
    <row r="41" spans="2:13" ht="15.75" thickBot="1" x14ac:dyDescent="0.3">
      <c r="B41" s="161" t="s">
        <v>66</v>
      </c>
      <c r="C41" s="162">
        <v>24214.510842179436</v>
      </c>
      <c r="D41" s="162">
        <v>27320.122509145887</v>
      </c>
      <c r="E41" s="162">
        <v>30953.98609429986</v>
      </c>
      <c r="F41" s="162">
        <v>35216.920194758713</v>
      </c>
      <c r="G41" s="162">
        <v>40230.260657754479</v>
      </c>
      <c r="H41" s="162">
        <v>46140.199364138884</v>
      </c>
      <c r="I41" s="162">
        <v>53123.063642864749</v>
      </c>
      <c r="J41" s="162">
        <v>57723.793407748155</v>
      </c>
      <c r="K41" s="162">
        <v>59950.79744300017</v>
      </c>
      <c r="L41" s="162">
        <v>62040.643301504475</v>
      </c>
      <c r="M41" s="163">
        <f>SUM(M25:M40)</f>
        <v>436914.29745739477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C22F4420F69B4F8261B7FC88C00ECC" ma:contentTypeVersion="19" ma:contentTypeDescription="Create a new document." ma:contentTypeScope="" ma:versionID="b496d9d48f0ed2333d894a3940d64906">
  <xsd:schema xmlns:xsd="http://www.w3.org/2001/XMLSchema" xmlns:xs="http://www.w3.org/2001/XMLSchema" xmlns:p="http://schemas.microsoft.com/office/2006/metadata/properties" xmlns:ns2="e2f1793d-b1b7-4756-89b9-7fd79f5292a8" xmlns:ns3="0fe8a0bf-c128-413b-aa7c-71b1cfc25e9f" targetNamespace="http://schemas.microsoft.com/office/2006/metadata/properties" ma:root="true" ma:fieldsID="e03c776ae80cd5b3451a5b5bd79f69ba" ns2:_="" ns3:_="">
    <xsd:import namespace="e2f1793d-b1b7-4756-89b9-7fd79f5292a8"/>
    <xsd:import namespace="0fe8a0bf-c128-413b-aa7c-71b1cfc25e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Stage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f1793d-b1b7-4756-89b9-7fd79f5292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Stage" ma:index="21" nillable="true" ma:displayName="Stage" ma:format="Dropdown" ma:internalName="Stage">
      <xsd:simpleType>
        <xsd:restriction base="dms:Choice">
          <xsd:enumeration value="Proposal"/>
          <xsd:enumeration value="Won"/>
          <xsd:enumeration value="COI"/>
          <xsd:enumeration value="SUB"/>
          <xsd:enumeration value="Completed"/>
          <xsd:enumeration value="Lost"/>
          <xsd:enumeration value="In Progress"/>
        </xsd:restriction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c8c2d10d-3ec9-4962-9cf6-799992dd03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e8a0bf-c128-413b-aa7c-71b1cfc25e9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a141d08-82d4-4b34-910d-8b2468d0b29d}" ma:internalName="TaxCatchAll" ma:showField="CatchAllData" ma:web="0fe8a0bf-c128-413b-aa7c-71b1cfc25e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fe8a0bf-c128-413b-aa7c-71b1cfc25e9f" xsi:nil="true"/>
    <Stage xmlns="e2f1793d-b1b7-4756-89b9-7fd79f5292a8" xsi:nil="true"/>
    <lcf76f155ced4ddcb4097134ff3c332f xmlns="e2f1793d-b1b7-4756-89b9-7fd79f5292a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036875-E54E-485C-923D-6E984442BB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f1793d-b1b7-4756-89b9-7fd79f5292a8"/>
    <ds:schemaRef ds:uri="0fe8a0bf-c128-413b-aa7c-71b1cfc25e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B0495F-604E-4790-9B55-F59BCEEEE951}">
  <ds:schemaRefs>
    <ds:schemaRef ds:uri="http://schemas.microsoft.com/office/2006/metadata/properties"/>
    <ds:schemaRef ds:uri="http://schemas.microsoft.com/office/infopath/2007/PartnerControls"/>
    <ds:schemaRef ds:uri="0fe8a0bf-c128-413b-aa7c-71b1cfc25e9f"/>
    <ds:schemaRef ds:uri="e2f1793d-b1b7-4756-89b9-7fd79f5292a8"/>
  </ds:schemaRefs>
</ds:datastoreItem>
</file>

<file path=customXml/itemProps3.xml><?xml version="1.0" encoding="utf-8"?>
<ds:datastoreItem xmlns:ds="http://schemas.openxmlformats.org/officeDocument/2006/customXml" ds:itemID="{D0876BA3-9AFA-4E30-9627-5E8D93062F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Summary table</vt:lpstr>
      <vt:lpstr>ProjectArea</vt:lpstr>
      <vt:lpstr>Leakage LB</vt:lpstr>
      <vt:lpstr>Leakage OLB</vt:lpstr>
      <vt:lpstr>Stocks</vt:lpstr>
      <vt:lpstr>Dist actual</vt:lpstr>
      <vt:lpstr>Defor actual</vt:lpstr>
      <vt:lpstr>cumulative UNC</vt:lpstr>
      <vt:lpstr>baseline_tables_2020</vt:lpstr>
      <vt:lpstr>inventory stats</vt:lpstr>
      <vt:lpstr>defor rate</vt:lpstr>
      <vt:lpstr>pop proj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Becky</dc:creator>
  <cp:lastModifiedBy>Varillas Cueto, Gonzalo</cp:lastModifiedBy>
  <dcterms:created xsi:type="dcterms:W3CDTF">2012-08-23T13:55:52Z</dcterms:created>
  <dcterms:modified xsi:type="dcterms:W3CDTF">2023-01-06T15:34:22Z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0x01010020C22F4420F69B4F8261B7FC88C00ECC</vt:lpwstr>
  </property>
</Properties>
</file>