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2balance.sharepoint.com/Shared Documents/Projects/GS7591 - IPSWAEC/5. Zambia/Central Province/5. Validation/DOE Compliance Check/Round 1/"/>
    </mc:Choice>
  </mc:AlternateContent>
  <xr:revisionPtr revIDLastSave="9" documentId="8_{853706BC-9B9F-4F04-965C-20B2340FF628}" xr6:coauthVersionLast="46" xr6:coauthVersionMax="46" xr10:uidLastSave="{8BB6CF33-BE7B-48D3-93D4-C51DF4E1193A}"/>
  <bookViews>
    <workbookView xWindow="-110" yWindow="-110" windowWidth="19420" windowHeight="10420" xr2:uid="{00000000-000D-0000-FFFF-FFFF00000000}"/>
  </bookViews>
  <sheets>
    <sheet name="VPA 33-36" sheetId="7" r:id="rId1"/>
    <sheet name="SDGs Calculations" sheetId="16" r:id="rId2"/>
    <sheet name="Useful Energy Output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7" l="1"/>
  <c r="E14" i="7"/>
  <c r="K5" i="7"/>
  <c r="L5" i="7" s="1"/>
  <c r="K4" i="7"/>
  <c r="L4" i="7" s="1"/>
  <c r="L6" i="7" s="1"/>
  <c r="F21" i="7"/>
  <c r="E19" i="7" s="1"/>
  <c r="E20" i="7"/>
  <c r="C5" i="16" s="1"/>
  <c r="C3" i="16" s="1"/>
  <c r="C11" i="12"/>
  <c r="C11" i="16"/>
  <c r="C17" i="16"/>
  <c r="C16" i="16" s="1"/>
  <c r="E22" i="7"/>
  <c r="C5" i="12"/>
  <c r="C6" i="16"/>
  <c r="C4" i="16" s="1"/>
  <c r="C8" i="16"/>
  <c r="C18" i="16"/>
  <c r="C19" i="16"/>
  <c r="C13" i="16"/>
  <c r="E18" i="7"/>
  <c r="E29" i="7" s="1"/>
  <c r="E24" i="7"/>
  <c r="E31" i="7"/>
  <c r="E12" i="7"/>
  <c r="O5" i="12"/>
  <c r="O3" i="12"/>
  <c r="O4" i="12"/>
  <c r="O6" i="12"/>
  <c r="C6" i="12"/>
  <c r="E39" i="7"/>
  <c r="E32" i="7"/>
  <c r="C7" i="12"/>
  <c r="C9" i="12"/>
  <c r="G9" i="12"/>
  <c r="G11" i="12"/>
  <c r="E9" i="12"/>
  <c r="E11" i="12"/>
  <c r="K9" i="12"/>
  <c r="K11" i="12"/>
  <c r="D9" i="12"/>
  <c r="D11" i="12"/>
  <c r="I9" i="12"/>
  <c r="I11" i="12"/>
  <c r="H9" i="12"/>
  <c r="H11" i="12"/>
  <c r="J9" i="12"/>
  <c r="J11" i="12"/>
  <c r="F9" i="12"/>
  <c r="F11" i="12"/>
  <c r="L9" i="12"/>
  <c r="L11" i="12"/>
  <c r="C2" i="16" l="1"/>
  <c r="E26" i="7"/>
  <c r="E37" i="7" s="1"/>
  <c r="E30" i="7"/>
  <c r="E34" i="7" s="1"/>
  <c r="E38" i="7" s="1"/>
  <c r="E41" i="7" l="1"/>
  <c r="E42" i="7" l="1"/>
  <c r="C22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tc={963CA445-7B36-4924-AF06-A8605929D919}</author>
    <author>tc={CA17F230-D5E0-487C-A9C6-A315BEA8734C}</author>
    <author>co2balance PC 3</author>
    <author>tc={3F1BA7DF-F422-4D3B-A2C6-6F2D0BCE9012}</author>
  </authors>
  <commentList>
    <comment ref="I3" authorId="0" shapeId="0" xr:uid="{963CA445-7B36-4924-AF06-A8605929D919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https://www.ipcc-nggip.iges.or.jp/public/gp/bgp/2_2_Non-CO2_Stationary_Combustion.pdf</t>
      </text>
    </comment>
    <comment ref="J3" authorId="1" shapeId="0" xr:uid="{CA17F230-D5E0-487C-A9C6-A315BEA8734C}">
      <text>
        <t>[Threaded comment]
Your version of Excel allows you to read this threaded comment; however, any edits to it will get removed if the file is opened in a newer version of Excel. Learn more: https://go.microsoft.com/fwlink/?linkid=870924
Comment:
    https://www.ghgprotocol.org/sites/default/files/ghgp/Global-Warming-Potential-Values%20%28Feb%2016%202016%29_1.pdf</t>
      </text>
    </comment>
    <comment ref="E5" authorId="2" shapeId="0" xr:uid="{00000000-0006-0000-0000-000001000000}">
      <text>
        <r>
          <rPr>
            <b/>
            <sz val="9"/>
            <color indexed="81"/>
            <rFont val="Tahoma"/>
            <family val="2"/>
          </rPr>
          <t>co2balance PC 3:</t>
        </r>
        <r>
          <rPr>
            <sz val="9"/>
            <color indexed="81"/>
            <rFont val="Tahoma"/>
            <family val="2"/>
          </rPr>
          <t xml:space="preserve">
Assumed in advance of data</t>
        </r>
      </text>
    </comment>
    <comment ref="E6" authorId="2" shapeId="0" xr:uid="{00000000-0006-0000-0000-000002000000}">
      <text>
        <r>
          <rPr>
            <b/>
            <sz val="9"/>
            <color indexed="81"/>
            <rFont val="Tahoma"/>
            <family val="2"/>
          </rPr>
          <t>co2balance PC 3:</t>
        </r>
        <r>
          <rPr>
            <sz val="9"/>
            <color indexed="81"/>
            <rFont val="Tahoma"/>
            <family val="2"/>
          </rPr>
          <t xml:space="preserve">
CDM default value
https://cdm.unfccc.int/Reference/Notes/meth/meth_note12.pdf</t>
        </r>
      </text>
    </comment>
    <comment ref="E8" authorId="3" shapeId="0" xr:uid="{3F1BA7DF-F422-4D3B-A2C6-6F2D0BCE9012}">
      <text>
        <t>[Threaded comment]
Your version of Excel allows you to read this threaded comment; however, any edits to it will get removed if the file is opened in a newer version of Excel. Learn more: https://go.microsoft.com/fwlink/?linkid=870924
Comment:
    WBT cap applied</t>
      </text>
    </comment>
    <comment ref="E20" authorId="2" shapeId="0" xr:uid="{00000000-0006-0000-0000-000004000000}">
      <text>
        <r>
          <rPr>
            <b/>
            <sz val="9"/>
            <color indexed="81"/>
            <rFont val="Tahoma"/>
            <family val="2"/>
          </rPr>
          <t>co2balance PC 3:</t>
        </r>
        <r>
          <rPr>
            <sz val="9"/>
            <color indexed="81"/>
            <rFont val="Tahoma"/>
            <family val="2"/>
          </rPr>
          <t xml:space="preserve">
From Baseline Report</t>
        </r>
      </text>
    </comment>
    <comment ref="E21" authorId="2" shapeId="0" xr:uid="{00000000-0006-0000-0000-000005000000}">
      <text>
        <r>
          <rPr>
            <b/>
            <sz val="9"/>
            <color indexed="81"/>
            <rFont val="Tahoma"/>
            <family val="2"/>
          </rPr>
          <t>co2balance PC 3:</t>
        </r>
        <r>
          <rPr>
            <sz val="9"/>
            <color indexed="81"/>
            <rFont val="Tahoma"/>
            <family val="2"/>
          </rPr>
          <t xml:space="preserve">
amount assumed in advance of data</t>
        </r>
      </text>
    </comment>
    <comment ref="E33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>co2balance PC 3:</t>
        </r>
        <r>
          <rPr>
            <sz val="9"/>
            <color indexed="81"/>
            <rFont val="Tahoma"/>
            <family val="2"/>
          </rPr>
          <t xml:space="preserve">
amount assumed in advance of data</t>
        </r>
      </text>
    </comment>
  </commentList>
</comments>
</file>

<file path=xl/sharedStrings.xml><?xml version="1.0" encoding="utf-8"?>
<sst xmlns="http://schemas.openxmlformats.org/spreadsheetml/2006/main" count="192" uniqueCount="134">
  <si>
    <t>Emission Reductions</t>
  </si>
  <si>
    <t>tCO2/y</t>
  </si>
  <si>
    <t>Ery</t>
  </si>
  <si>
    <t>Percentage</t>
  </si>
  <si>
    <t>Xboil</t>
  </si>
  <si>
    <r>
      <t xml:space="preserve">Percentage of </t>
    </r>
    <r>
      <rPr>
        <b/>
        <u/>
        <sz val="11"/>
        <color indexed="8"/>
        <rFont val="Calibri"/>
        <family val="2"/>
      </rPr>
      <t>non</t>
    </r>
    <r>
      <rPr>
        <sz val="11"/>
        <color theme="1"/>
        <rFont val="Calibri"/>
        <family val="2"/>
        <scheme val="minor"/>
      </rPr>
      <t>-suppressed demand users</t>
    </r>
  </si>
  <si>
    <t>Percentage of suppressed demand users</t>
  </si>
  <si>
    <t>Suppressed Demand Assessment</t>
  </si>
  <si>
    <t>LEp,y</t>
  </si>
  <si>
    <t>Leakage</t>
  </si>
  <si>
    <t>T</t>
  </si>
  <si>
    <t>Bp,y</t>
  </si>
  <si>
    <t>Quantity of fuel consumed in project scenario per HH</t>
  </si>
  <si>
    <t>fraction</t>
  </si>
  <si>
    <t>Up,y</t>
  </si>
  <si>
    <t>Usage rate</t>
  </si>
  <si>
    <t>L/pd</t>
  </si>
  <si>
    <t xml:space="preserve">Qp, cleanboil, y </t>
  </si>
  <si>
    <t>Quantity of safe water boiled</t>
  </si>
  <si>
    <t>PEp,y</t>
  </si>
  <si>
    <t>Project emissions per year</t>
  </si>
  <si>
    <t>Quantity of raw water boiled in addition to project tech water</t>
  </si>
  <si>
    <t>BEb,y</t>
  </si>
  <si>
    <t>Baseline emissions per year</t>
  </si>
  <si>
    <t>T/L</t>
  </si>
  <si>
    <t xml:space="preserve">Wp,y </t>
  </si>
  <si>
    <t>Fossil fuel required to treat 1 litre for water in project scenario</t>
  </si>
  <si>
    <t>Emissions Reductions</t>
  </si>
  <si>
    <t>Njy</t>
  </si>
  <si>
    <t>Person Days</t>
  </si>
  <si>
    <t>Cj</t>
  </si>
  <si>
    <t>Portion users</t>
  </si>
  <si>
    <t>Project Fuel Use (Pby)</t>
  </si>
  <si>
    <t>Bb,y</t>
  </si>
  <si>
    <t>Quantity of raw water boiled in addition to project technology water</t>
  </si>
  <si>
    <t>Qp,y</t>
  </si>
  <si>
    <t>Quantity safe water litres consumed in project scenario supplied by project technology</t>
  </si>
  <si>
    <t>Wb,y</t>
  </si>
  <si>
    <t>Fuel to treat  1 litre of water using baseline tech</t>
  </si>
  <si>
    <t>Portion using safe water</t>
  </si>
  <si>
    <t>Baseline Fuel Use (Bby)</t>
  </si>
  <si>
    <t>TJ/T</t>
  </si>
  <si>
    <t>NCV,b,fuel</t>
  </si>
  <si>
    <t>Net calorific value of fuel</t>
  </si>
  <si>
    <t>TCO2/TJ</t>
  </si>
  <si>
    <t>EFb, fuel, non-co2</t>
  </si>
  <si>
    <t>Emissions factor fuel (non-co2)</t>
  </si>
  <si>
    <t>tCO2/TJ</t>
  </si>
  <si>
    <t>EFb,fuel,co2</t>
  </si>
  <si>
    <t>Emissions factor fuel (co2)</t>
  </si>
  <si>
    <t>Fraction</t>
  </si>
  <si>
    <t>NRB</t>
  </si>
  <si>
    <t>Constants</t>
  </si>
  <si>
    <t>% safe anyway</t>
  </si>
  <si>
    <t>Wp,y</t>
  </si>
  <si>
    <t>Tonnes of wood to boil water - water boiling test</t>
  </si>
  <si>
    <t>fNRB</t>
  </si>
  <si>
    <t>Quantity safe water litres supplied by project technology</t>
  </si>
  <si>
    <t>Project Variables</t>
  </si>
  <si>
    <t>Family Size</t>
  </si>
  <si>
    <t>NCV biomass (TJ/t)</t>
  </si>
  <si>
    <t>J/kWh</t>
  </si>
  <si>
    <t>Fuel to treat  1 litre of water using baseline tech (t/L)</t>
  </si>
  <si>
    <t>kWh/J</t>
  </si>
  <si>
    <t>Mean  baseline stove wood consumption (t/stove/day)</t>
  </si>
  <si>
    <t>NCV biomass (J/t)#</t>
  </si>
  <si>
    <t>NCV Biomass (kWh/t)</t>
  </si>
  <si>
    <t>Mean baseline stove energy consumption (kWh/stove/day)</t>
  </si>
  <si>
    <t>Estimated daily use (hours)</t>
  </si>
  <si>
    <t>Estimated fuel consumption (kW)</t>
  </si>
  <si>
    <t>Assumed thermal efficiency of stove</t>
  </si>
  <si>
    <t>Useful output (kW)</t>
  </si>
  <si>
    <t>Number of users per borehole</t>
  </si>
  <si>
    <t>Days in year</t>
  </si>
  <si>
    <t>approximate number of boreholes included</t>
  </si>
  <si>
    <t xml:space="preserve">SDG 3: Good Health and Well Being </t>
  </si>
  <si>
    <t>Description</t>
  </si>
  <si>
    <t>Unit</t>
  </si>
  <si>
    <t>people</t>
  </si>
  <si>
    <t>Py</t>
  </si>
  <si>
    <t>Expressed as a percentage, the portion of users of the project technology j who in the baseline were already consuming safe water without boiling it.</t>
  </si>
  <si>
    <t>%</t>
  </si>
  <si>
    <t>baseline survey</t>
  </si>
  <si>
    <t>SDG 5: Gender Equality</t>
  </si>
  <si>
    <t>TRy</t>
  </si>
  <si>
    <t>hours</t>
  </si>
  <si>
    <t>Tb,y</t>
  </si>
  <si>
    <t>Tp,y</t>
  </si>
  <si>
    <t>project survey</t>
  </si>
  <si>
    <t>SDG 6: Clean Water and Sanitation</t>
  </si>
  <si>
    <t>Paccess = Py * (1 – Cj) * Up,y</t>
  </si>
  <si>
    <t>Paccess</t>
  </si>
  <si>
    <t>Number of additional persons having access to safe water in the project activity compared to the baseline scenario</t>
  </si>
  <si>
    <t>Number of persons having access to safe water in the project activity</t>
  </si>
  <si>
    <t xml:space="preserve">Up,y </t>
  </si>
  <si>
    <r>
      <t>Usage rate in project scenario p during</t>
    </r>
    <r>
      <rPr>
        <vertAlign val="sub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year y</t>
    </r>
  </si>
  <si>
    <t>SDG 13: Climate Action</t>
  </si>
  <si>
    <t>Er,y</t>
  </si>
  <si>
    <t>VER</t>
  </si>
  <si>
    <t>Capped Emission Reductions</t>
  </si>
  <si>
    <t>Total reduction in Household Air Pollution for project activity in year y (%)</t>
  </si>
  <si>
    <t>Pb,y</t>
  </si>
  <si>
    <t>Quantity of fuel that is consumed in the baseline scenario b during year y (kg/person-day)</t>
  </si>
  <si>
    <t>kg/pp-day</t>
  </si>
  <si>
    <t>Pp,y</t>
  </si>
  <si>
    <t>Quantity of fuel that is consumed in the project scenario p during year y (kg/person-day)</t>
  </si>
  <si>
    <t>Quantity of wood fuel or fossil fuel required to boil 1 litre of water using technologies representative of baseline scenario b during year y</t>
  </si>
  <si>
    <t>kg/L</t>
  </si>
  <si>
    <t>Quantity of safe water supplied in the project scenario p during year y, using the “zero or low” emissions’ clean water supply technology</t>
  </si>
  <si>
    <t>Litres</t>
  </si>
  <si>
    <t>Qp,cleanboil,y</t>
  </si>
  <si>
    <t>Quantity of safe water boiled in the project scenario p during year y, after installation of the project technology</t>
  </si>
  <si>
    <t>HAPRy = ((Pb,y - Pp,y)/Pb,y)*Up,y</t>
  </si>
  <si>
    <t>HAPRy</t>
  </si>
  <si>
    <t>Qp, rawboil, y</t>
  </si>
  <si>
    <t xml:space="preserve">Zam BL </t>
  </si>
  <si>
    <t>Zam BWBT</t>
  </si>
  <si>
    <t>TRy = (Tb,y - Tp,y)/Tb,y</t>
  </si>
  <si>
    <t>Baseline time spent collecting water and firewood per household per trip</t>
  </si>
  <si>
    <t>Project time spent collecting  water and firewood per household per trip</t>
  </si>
  <si>
    <t xml:space="preserve">Reduction in time spent collecting water and firewood for project activity in year y </t>
  </si>
  <si>
    <t xml:space="preserve">cap </t>
  </si>
  <si>
    <t>Emissions Factor Non-CO2</t>
  </si>
  <si>
    <t>Gas</t>
  </si>
  <si>
    <t>Default Emissions Factor (kg_gas/TJNCV)</t>
  </si>
  <si>
    <t>GWP of Gas</t>
  </si>
  <si>
    <t>Default Emissions Factor (kg_CO2e/TJNCV)</t>
  </si>
  <si>
    <t>Default Emissions Factor (t_CO2e/TJNCV)</t>
  </si>
  <si>
    <t>CH4</t>
  </si>
  <si>
    <t>N2O</t>
  </si>
  <si>
    <t xml:space="preserve">Total: </t>
  </si>
  <si>
    <t xml:space="preserve">ERs per isolated unit </t>
  </si>
  <si>
    <t xml:space="preserve">Ery </t>
  </si>
  <si>
    <t xml:space="preserve">Estimated ex-ante CO2 emission reductions per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</si>
</sst>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0"/>
    <numFmt numFmtId="165" formatCode="_-* #,##0_-;\-* #,##0_-;_-* &quot;-&quot;??_-;_-@_-"/>
    <numFmt numFmtId="166" formatCode="0.000000"/>
    <numFmt numFmtId="167" formatCode="_-* #,##0.00000_-;\-* #,##0.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1" xfId="0" applyFill="1" applyBorder="1"/>
    <xf numFmtId="0" fontId="0" fillId="0" borderId="2" xfId="0" applyFill="1" applyBorder="1" applyAlignment="1"/>
    <xf numFmtId="0" fontId="0" fillId="0" borderId="1" xfId="0" applyFill="1" applyBorder="1" applyAlignment="1"/>
    <xf numFmtId="0" fontId="0" fillId="0" borderId="3" xfId="0" applyFill="1" applyBorder="1" applyAlignment="1"/>
    <xf numFmtId="1" fontId="0" fillId="3" borderId="1" xfId="0" applyNumberFormat="1" applyFill="1" applyBorder="1"/>
    <xf numFmtId="0" fontId="0" fillId="3" borderId="1" xfId="0" applyFill="1" applyBorder="1"/>
    <xf numFmtId="3" fontId="0" fillId="3" borderId="1" xfId="0" applyNumberFormat="1" applyFill="1" applyBorder="1"/>
    <xf numFmtId="0" fontId="0" fillId="0" borderId="1" xfId="0" applyFill="1" applyBorder="1" applyAlignment="1">
      <alignment wrapText="1"/>
    </xf>
    <xf numFmtId="0" fontId="2" fillId="0" borderId="0" xfId="0" applyFont="1" applyFill="1" applyBorder="1" applyAlignment="1"/>
    <xf numFmtId="164" fontId="0" fillId="3" borderId="1" xfId="0" applyNumberFormat="1" applyFill="1" applyBorder="1"/>
    <xf numFmtId="0" fontId="2" fillId="0" borderId="0" xfId="0" applyFont="1"/>
    <xf numFmtId="0" fontId="0" fillId="0" borderId="0" xfId="0" applyFill="1" applyBorder="1" applyAlignment="1">
      <alignment horizontal="center"/>
    </xf>
    <xf numFmtId="2" fontId="0" fillId="3" borderId="1" xfId="0" applyNumberFormat="1" applyFill="1" applyBorder="1"/>
    <xf numFmtId="165" fontId="0" fillId="3" borderId="1" xfId="2" applyNumberFormat="1" applyFont="1" applyFill="1" applyBorder="1"/>
    <xf numFmtId="0" fontId="0" fillId="0" borderId="1" xfId="0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8" borderId="0" xfId="0" applyFill="1"/>
    <xf numFmtId="0" fontId="0" fillId="8" borderId="0" xfId="0" applyFont="1" applyFill="1"/>
    <xf numFmtId="0" fontId="0" fillId="9" borderId="1" xfId="0" applyFont="1" applyFill="1" applyBorder="1"/>
    <xf numFmtId="0" fontId="0" fillId="8" borderId="1" xfId="0" applyFont="1" applyFill="1" applyBorder="1"/>
    <xf numFmtId="0" fontId="0" fillId="2" borderId="1" xfId="0" applyFont="1" applyFill="1" applyBorder="1"/>
    <xf numFmtId="3" fontId="0" fillId="8" borderId="1" xfId="0" applyNumberFormat="1" applyFont="1" applyFill="1" applyBorder="1"/>
    <xf numFmtId="0" fontId="0" fillId="0" borderId="1" xfId="0" applyFont="1" applyFill="1" applyBorder="1"/>
    <xf numFmtId="0" fontId="0" fillId="8" borderId="1" xfId="0" applyFill="1" applyBorder="1"/>
    <xf numFmtId="0" fontId="6" fillId="8" borderId="1" xfId="0" applyFont="1" applyFill="1" applyBorder="1"/>
    <xf numFmtId="0" fontId="0" fillId="0" borderId="0" xfId="0" applyFont="1" applyFill="1"/>
    <xf numFmtId="4" fontId="0" fillId="8" borderId="1" xfId="0" applyNumberFormat="1" applyFont="1" applyFill="1" applyBorder="1"/>
    <xf numFmtId="0" fontId="0" fillId="8" borderId="2" xfId="0" applyFont="1" applyFill="1" applyBorder="1"/>
    <xf numFmtId="0" fontId="0" fillId="0" borderId="1" xfId="0" applyFont="1" applyFill="1" applyBorder="1" applyAlignment="1">
      <alignment horizontal="center"/>
    </xf>
    <xf numFmtId="4" fontId="0" fillId="8" borderId="2" xfId="0" applyNumberFormat="1" applyFont="1" applyFill="1" applyBorder="1"/>
    <xf numFmtId="4" fontId="0" fillId="0" borderId="1" xfId="0" applyNumberFormat="1" applyFont="1" applyFill="1" applyBorder="1"/>
    <xf numFmtId="4" fontId="0" fillId="0" borderId="1" xfId="0" applyNumberFormat="1" applyFont="1" applyFill="1" applyBorder="1" applyAlignment="1">
      <alignment horizontal="center"/>
    </xf>
    <xf numFmtId="9" fontId="0" fillId="8" borderId="1" xfId="0" applyNumberFormat="1" applyFont="1" applyFill="1" applyBorder="1"/>
    <xf numFmtId="2" fontId="0" fillId="8" borderId="1" xfId="0" applyNumberFormat="1" applyFont="1" applyFill="1" applyBorder="1"/>
    <xf numFmtId="2" fontId="0" fillId="0" borderId="1" xfId="0" applyNumberFormat="1" applyFont="1" applyFill="1" applyBorder="1"/>
    <xf numFmtId="2" fontId="0" fillId="8" borderId="5" xfId="0" applyNumberFormat="1" applyFont="1" applyFill="1" applyBorder="1"/>
    <xf numFmtId="2" fontId="0" fillId="0" borderId="5" xfId="0" applyNumberFormat="1" applyFont="1" applyFill="1" applyBorder="1"/>
    <xf numFmtId="2" fontId="0" fillId="10" borderId="1" xfId="0" applyNumberFormat="1" applyFont="1" applyFill="1" applyBorder="1"/>
    <xf numFmtId="165" fontId="0" fillId="3" borderId="1" xfId="0" applyNumberFormat="1" applyFill="1" applyBorder="1"/>
    <xf numFmtId="166" fontId="0" fillId="3" borderId="1" xfId="0" applyNumberFormat="1" applyFill="1" applyBorder="1"/>
    <xf numFmtId="165" fontId="0" fillId="0" borderId="0" xfId="0" applyNumberFormat="1"/>
    <xf numFmtId="1" fontId="0" fillId="0" borderId="0" xfId="0" applyNumberFormat="1"/>
    <xf numFmtId="10" fontId="0" fillId="3" borderId="1" xfId="1" applyNumberFormat="1" applyFont="1" applyFill="1" applyBorder="1"/>
    <xf numFmtId="0" fontId="0" fillId="0" borderId="1" xfId="0" applyBorder="1"/>
    <xf numFmtId="1" fontId="0" fillId="0" borderId="1" xfId="0" applyNumberFormat="1" applyBorder="1"/>
    <xf numFmtId="10" fontId="0" fillId="3" borderId="1" xfId="0" applyNumberFormat="1" applyFill="1" applyBorder="1"/>
    <xf numFmtId="0" fontId="0" fillId="11" borderId="1" xfId="0" applyFill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2" fontId="0" fillId="0" borderId="1" xfId="0" applyNumberFormat="1" applyBorder="1"/>
    <xf numFmtId="1" fontId="2" fillId="0" borderId="1" xfId="0" applyNumberFormat="1" applyFont="1" applyBorder="1" applyAlignment="1">
      <alignment horizontal="left" wrapText="1"/>
    </xf>
    <xf numFmtId="10" fontId="0" fillId="0" borderId="1" xfId="0" applyNumberFormat="1" applyBorder="1" applyAlignment="1">
      <alignment horizontal="right" wrapText="1"/>
    </xf>
    <xf numFmtId="0" fontId="0" fillId="11" borderId="1" xfId="0" applyFill="1" applyBorder="1" applyAlignment="1">
      <alignment wrapText="1"/>
    </xf>
    <xf numFmtId="1" fontId="0" fillId="8" borderId="1" xfId="0" applyNumberFormat="1" applyFont="1" applyFill="1" applyBorder="1"/>
    <xf numFmtId="9" fontId="0" fillId="0" borderId="1" xfId="1" applyFont="1" applyFill="1" applyBorder="1" applyAlignment="1">
      <alignment horizontal="right" wrapText="1"/>
    </xf>
    <xf numFmtId="2" fontId="0" fillId="0" borderId="1" xfId="0" applyNumberFormat="1" applyFill="1" applyBorder="1"/>
    <xf numFmtId="9" fontId="0" fillId="3" borderId="1" xfId="1" applyNumberFormat="1" applyFont="1" applyFill="1" applyBorder="1"/>
    <xf numFmtId="0" fontId="0" fillId="0" borderId="5" xfId="0" applyBorder="1"/>
    <xf numFmtId="0" fontId="0" fillId="0" borderId="6" xfId="0" applyBorder="1"/>
    <xf numFmtId="9" fontId="0" fillId="0" borderId="1" xfId="1" applyFont="1" applyFill="1" applyBorder="1" applyAlignment="1">
      <alignment horizontal="left" wrapText="1"/>
    </xf>
    <xf numFmtId="164" fontId="0" fillId="0" borderId="1" xfId="0" applyNumberFormat="1" applyFill="1" applyBorder="1" applyAlignment="1">
      <alignment horizontal="left"/>
    </xf>
    <xf numFmtId="9" fontId="2" fillId="0" borderId="1" xfId="0" applyNumberFormat="1" applyFont="1" applyFill="1" applyBorder="1" applyAlignment="1">
      <alignment horizontal="left"/>
    </xf>
    <xf numFmtId="43" fontId="0" fillId="0" borderId="0" xfId="0" applyNumberFormat="1"/>
    <xf numFmtId="167" fontId="0" fillId="0" borderId="0" xfId="0" applyNumberFormat="1"/>
    <xf numFmtId="166" fontId="0" fillId="0" borderId="1" xfId="0" applyNumberFormat="1" applyFill="1" applyBorder="1" applyAlignment="1">
      <alignment horizontal="left"/>
    </xf>
    <xf numFmtId="9" fontId="2" fillId="0" borderId="1" xfId="0" applyNumberFormat="1" applyFont="1" applyBorder="1" applyAlignment="1">
      <alignment horizontal="right" wrapText="1"/>
    </xf>
    <xf numFmtId="2" fontId="0" fillId="0" borderId="0" xfId="0" applyNumberFormat="1"/>
    <xf numFmtId="0" fontId="0" fillId="0" borderId="7" xfId="0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43" fontId="0" fillId="0" borderId="1" xfId="0" applyNumberFormat="1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mma Donnachie" id="{A3AA9233-BCD2-4F38-9947-9D9FD737D691}" userId="Emma Donnachie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3" dT="2021-03-10T15:06:04.05" personId="{A3AA9233-BCD2-4F38-9947-9D9FD737D691}" id="{963CA445-7B36-4924-AF06-A8605929D919}">
    <text>https://www.ipcc-nggip.iges.or.jp/public/gp/bgp/2_2_Non-CO2_Stationary_Combustion.pdf</text>
  </threadedComment>
  <threadedComment ref="J3" dT="2021-03-10T15:06:32.14" personId="{A3AA9233-BCD2-4F38-9947-9D9FD737D691}" id="{CA17F230-D5E0-487C-A9C6-A315BEA8734C}">
    <text>https://www.ghgprotocol.org/sites/default/files/ghgp/Global-Warming-Potential-Values%20%28Feb%2016%202016%29_1.pdf</text>
  </threadedComment>
  <threadedComment ref="E8" dT="2021-02-19T12:25:57.42" personId="{A3AA9233-BCD2-4F38-9947-9D9FD737D691}" id="{3F1BA7DF-F422-4D3B-A2C6-6F2D0BCE9012}">
    <text>WBT cap applied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72"/>
  <sheetViews>
    <sheetView showGridLines="0" tabSelected="1" topLeftCell="A32" zoomScale="70" zoomScaleNormal="70" workbookViewId="0">
      <selection activeCell="E45" sqref="E45"/>
    </sheetView>
  </sheetViews>
  <sheetFormatPr defaultRowHeight="14.5" x14ac:dyDescent="0.35"/>
  <cols>
    <col min="1" max="1" width="9.1796875" customWidth="1"/>
    <col min="2" max="2" width="62.1796875" customWidth="1"/>
    <col min="3" max="3" width="17.1796875" bestFit="1" customWidth="1"/>
    <col min="4" max="4" width="22" customWidth="1"/>
    <col min="5" max="5" width="14.453125" bestFit="1" customWidth="1"/>
    <col min="6" max="6" width="15.81640625" style="1" customWidth="1"/>
    <col min="7" max="7" width="53.453125" customWidth="1"/>
    <col min="9" max="9" width="19.26953125" customWidth="1"/>
    <col min="10" max="10" width="11.54296875" customWidth="1"/>
    <col min="11" max="11" width="22" customWidth="1"/>
    <col min="12" max="12" width="21.1796875" customWidth="1"/>
    <col min="14" max="14" width="9.26953125" bestFit="1" customWidth="1"/>
  </cols>
  <sheetData>
    <row r="1" spans="2:12" x14ac:dyDescent="0.35">
      <c r="F1" s="14"/>
    </row>
    <row r="2" spans="2:12" x14ac:dyDescent="0.35">
      <c r="B2" s="78" t="s">
        <v>58</v>
      </c>
      <c r="C2" s="78"/>
      <c r="D2" s="78"/>
      <c r="E2" s="78"/>
      <c r="H2" s="82" t="s">
        <v>122</v>
      </c>
      <c r="I2" s="82"/>
      <c r="J2" s="82"/>
      <c r="K2" s="82"/>
      <c r="L2" s="82"/>
    </row>
    <row r="3" spans="2:12" ht="28.5" customHeight="1" x14ac:dyDescent="0.35">
      <c r="B3" s="10" t="s">
        <v>57</v>
      </c>
      <c r="C3" s="3" t="s">
        <v>35</v>
      </c>
      <c r="D3" s="3" t="s">
        <v>16</v>
      </c>
      <c r="E3" s="8">
        <v>7</v>
      </c>
      <c r="H3" s="71" t="s">
        <v>123</v>
      </c>
      <c r="I3" s="71" t="s">
        <v>124</v>
      </c>
      <c r="J3" s="71" t="s">
        <v>125</v>
      </c>
      <c r="K3" s="71" t="s">
        <v>126</v>
      </c>
      <c r="L3" s="71" t="s">
        <v>127</v>
      </c>
    </row>
    <row r="4" spans="2:12" x14ac:dyDescent="0.35">
      <c r="B4" s="10" t="s">
        <v>21</v>
      </c>
      <c r="C4" s="3" t="s">
        <v>114</v>
      </c>
      <c r="D4" s="3" t="s">
        <v>16</v>
      </c>
      <c r="E4" s="8">
        <v>0</v>
      </c>
      <c r="H4" s="46" t="s">
        <v>128</v>
      </c>
      <c r="I4" s="46">
        <v>300</v>
      </c>
      <c r="J4" s="46">
        <v>28</v>
      </c>
      <c r="K4" s="46">
        <f>I4*J4</f>
        <v>8400</v>
      </c>
      <c r="L4" s="46">
        <f>K4/1000</f>
        <v>8.4</v>
      </c>
    </row>
    <row r="5" spans="2:12" x14ac:dyDescent="0.35">
      <c r="B5" s="10" t="s">
        <v>18</v>
      </c>
      <c r="C5" s="3" t="s">
        <v>17</v>
      </c>
      <c r="D5" s="3" t="s">
        <v>16</v>
      </c>
      <c r="E5" s="8">
        <v>0</v>
      </c>
      <c r="H5" s="46" t="s">
        <v>129</v>
      </c>
      <c r="I5" s="46">
        <v>4</v>
      </c>
      <c r="J5" s="46">
        <v>265</v>
      </c>
      <c r="K5" s="46">
        <f>I5*J5</f>
        <v>1060</v>
      </c>
      <c r="L5" s="46">
        <f>K5/1000</f>
        <v>1.06</v>
      </c>
    </row>
    <row r="6" spans="2:12" x14ac:dyDescent="0.35">
      <c r="B6" s="10" t="s">
        <v>51</v>
      </c>
      <c r="C6" s="3" t="s">
        <v>56</v>
      </c>
      <c r="D6" s="3" t="s">
        <v>13</v>
      </c>
      <c r="E6" s="15">
        <v>0.81</v>
      </c>
      <c r="H6" s="46"/>
      <c r="I6" s="46"/>
      <c r="J6" s="46"/>
      <c r="K6" s="72" t="s">
        <v>130</v>
      </c>
      <c r="L6" s="46">
        <f>SUM(L4:L5)</f>
        <v>9.4600000000000009</v>
      </c>
    </row>
    <row r="7" spans="2:12" x14ac:dyDescent="0.35">
      <c r="B7" s="10" t="s">
        <v>15</v>
      </c>
      <c r="C7" s="3" t="s">
        <v>14</v>
      </c>
      <c r="D7" s="3" t="s">
        <v>13</v>
      </c>
      <c r="E7" s="8">
        <v>0.9</v>
      </c>
      <c r="I7" s="2"/>
    </row>
    <row r="8" spans="2:12" x14ac:dyDescent="0.35">
      <c r="B8" s="10" t="s">
        <v>55</v>
      </c>
      <c r="C8" s="3" t="s">
        <v>54</v>
      </c>
      <c r="D8" s="3" t="s">
        <v>24</v>
      </c>
      <c r="E8" s="42">
        <v>4.0000000000000002E-4</v>
      </c>
      <c r="I8" s="2"/>
    </row>
    <row r="9" spans="2:12" x14ac:dyDescent="0.35">
      <c r="B9" s="10" t="s">
        <v>53</v>
      </c>
      <c r="C9" s="3" t="s">
        <v>30</v>
      </c>
      <c r="D9" s="3" t="s">
        <v>13</v>
      </c>
      <c r="E9" s="45">
        <v>2.7272727272727275E-2</v>
      </c>
      <c r="I9" s="2"/>
    </row>
    <row r="10" spans="2:12" x14ac:dyDescent="0.35">
      <c r="I10" s="2"/>
    </row>
    <row r="11" spans="2:12" x14ac:dyDescent="0.35">
      <c r="B11" s="79" t="s">
        <v>52</v>
      </c>
      <c r="C11" s="80"/>
      <c r="D11" s="80"/>
      <c r="E11" s="81"/>
      <c r="I11" s="2"/>
    </row>
    <row r="12" spans="2:12" x14ac:dyDescent="0.35">
      <c r="B12" s="10" t="s">
        <v>51</v>
      </c>
      <c r="C12" s="3" t="s">
        <v>51</v>
      </c>
      <c r="D12" s="3" t="s">
        <v>50</v>
      </c>
      <c r="E12" s="12">
        <f>E6</f>
        <v>0.81</v>
      </c>
      <c r="I12" s="2"/>
    </row>
    <row r="13" spans="2:12" x14ac:dyDescent="0.35">
      <c r="B13" s="3" t="s">
        <v>49</v>
      </c>
      <c r="C13" s="3" t="s">
        <v>48</v>
      </c>
      <c r="D13" s="3" t="s">
        <v>47</v>
      </c>
      <c r="E13" s="8">
        <v>112</v>
      </c>
      <c r="F13" s="13"/>
      <c r="I13" s="2"/>
    </row>
    <row r="14" spans="2:12" x14ac:dyDescent="0.35">
      <c r="B14" s="3" t="s">
        <v>46</v>
      </c>
      <c r="C14" s="3" t="s">
        <v>45</v>
      </c>
      <c r="D14" s="3" t="s">
        <v>44</v>
      </c>
      <c r="E14" s="8">
        <f>L6</f>
        <v>9.4600000000000009</v>
      </c>
      <c r="F14"/>
      <c r="H14" s="13"/>
    </row>
    <row r="15" spans="2:12" x14ac:dyDescent="0.35">
      <c r="B15" s="3" t="s">
        <v>43</v>
      </c>
      <c r="C15" s="3" t="s">
        <v>42</v>
      </c>
      <c r="D15" s="3" t="s">
        <v>41</v>
      </c>
      <c r="E15" s="8">
        <v>1.4999999999999999E-2</v>
      </c>
      <c r="F15"/>
    </row>
    <row r="16" spans="2:12" x14ac:dyDescent="0.35">
      <c r="F16"/>
    </row>
    <row r="17" spans="2:8" x14ac:dyDescent="0.35">
      <c r="B17" s="83" t="s">
        <v>40</v>
      </c>
      <c r="C17" s="84"/>
      <c r="D17" s="84"/>
      <c r="E17" s="85"/>
      <c r="F17"/>
    </row>
    <row r="18" spans="2:8" x14ac:dyDescent="0.35">
      <c r="B18" s="3" t="s">
        <v>39</v>
      </c>
      <c r="C18" s="3" t="s">
        <v>30</v>
      </c>
      <c r="D18" s="3" t="s">
        <v>13</v>
      </c>
      <c r="E18" s="45">
        <f>E9</f>
        <v>2.7272727272727275E-2</v>
      </c>
      <c r="F18"/>
    </row>
    <row r="19" spans="2:8" x14ac:dyDescent="0.35">
      <c r="B19" s="3" t="s">
        <v>29</v>
      </c>
      <c r="C19" s="3" t="s">
        <v>28</v>
      </c>
      <c r="D19" s="3"/>
      <c r="E19" s="16">
        <f>F19*F20*F21</f>
        <v>16331925</v>
      </c>
      <c r="F19" s="43">
        <v>157</v>
      </c>
      <c r="G19" t="s">
        <v>74</v>
      </c>
    </row>
    <row r="20" spans="2:8" s="13" customFormat="1" x14ac:dyDescent="0.35">
      <c r="B20" s="3" t="s">
        <v>38</v>
      </c>
      <c r="C20" s="3" t="s">
        <v>37</v>
      </c>
      <c r="D20" s="3" t="s">
        <v>24</v>
      </c>
      <c r="E20" s="42">
        <f>E8</f>
        <v>4.0000000000000002E-4</v>
      </c>
      <c r="F20" s="44">
        <v>300</v>
      </c>
      <c r="G20" t="s">
        <v>72</v>
      </c>
      <c r="H20"/>
    </row>
    <row r="21" spans="2:8" ht="29" x14ac:dyDescent="0.35">
      <c r="B21" s="10" t="s">
        <v>36</v>
      </c>
      <c r="C21" s="3" t="s">
        <v>35</v>
      </c>
      <c r="D21" s="3" t="s">
        <v>16</v>
      </c>
      <c r="E21" s="8">
        <v>7</v>
      </c>
      <c r="F21">
        <f>365*95%</f>
        <v>346.75</v>
      </c>
      <c r="G21" t="s">
        <v>73</v>
      </c>
    </row>
    <row r="22" spans="2:8" x14ac:dyDescent="0.35">
      <c r="B22" s="3" t="s">
        <v>34</v>
      </c>
      <c r="C22" s="3" t="s">
        <v>114</v>
      </c>
      <c r="D22" s="3" t="s">
        <v>16</v>
      </c>
      <c r="E22" s="8">
        <f>E4</f>
        <v>0</v>
      </c>
      <c r="F22" s="43"/>
    </row>
    <row r="23" spans="2:8" x14ac:dyDescent="0.35">
      <c r="B23" s="77" t="s">
        <v>7</v>
      </c>
      <c r="C23" s="77"/>
      <c r="D23" s="77"/>
      <c r="E23" s="77"/>
      <c r="F23"/>
    </row>
    <row r="24" spans="2:8" x14ac:dyDescent="0.35">
      <c r="B24" s="6" t="s">
        <v>6</v>
      </c>
      <c r="C24" s="5"/>
      <c r="D24" s="4"/>
      <c r="E24" s="59">
        <f>1-E25</f>
        <v>1</v>
      </c>
      <c r="F24"/>
    </row>
    <row r="25" spans="2:8" x14ac:dyDescent="0.35">
      <c r="B25" s="6" t="s">
        <v>5</v>
      </c>
      <c r="C25" s="5" t="s">
        <v>4</v>
      </c>
      <c r="D25" s="4" t="s">
        <v>3</v>
      </c>
      <c r="E25" s="48">
        <v>0</v>
      </c>
      <c r="F25"/>
    </row>
    <row r="26" spans="2:8" x14ac:dyDescent="0.35">
      <c r="B26" s="3" t="s">
        <v>40</v>
      </c>
      <c r="C26" s="3" t="s">
        <v>33</v>
      </c>
      <c r="D26" s="3" t="s">
        <v>10</v>
      </c>
      <c r="E26" s="7">
        <f>(1-E18)*E19*E20*(E21+E22)</f>
        <v>44482.224818181821</v>
      </c>
      <c r="F26"/>
      <c r="G26" s="65"/>
    </row>
    <row r="27" spans="2:8" x14ac:dyDescent="0.35">
      <c r="F27" s="11"/>
      <c r="G27" s="66"/>
    </row>
    <row r="28" spans="2:8" x14ac:dyDescent="0.35">
      <c r="B28" s="83" t="s">
        <v>32</v>
      </c>
      <c r="C28" s="84"/>
      <c r="D28" s="84"/>
      <c r="E28" s="85"/>
    </row>
    <row r="29" spans="2:8" x14ac:dyDescent="0.35">
      <c r="B29" s="3" t="s">
        <v>31</v>
      </c>
      <c r="C29" s="3" t="s">
        <v>30</v>
      </c>
      <c r="D29" s="3" t="s">
        <v>13</v>
      </c>
      <c r="E29" s="45">
        <f>E18</f>
        <v>2.7272727272727275E-2</v>
      </c>
    </row>
    <row r="30" spans="2:8" x14ac:dyDescent="0.35">
      <c r="B30" s="3" t="s">
        <v>29</v>
      </c>
      <c r="C30" s="3" t="s">
        <v>28</v>
      </c>
      <c r="D30" s="3"/>
      <c r="E30" s="41">
        <f>E19</f>
        <v>16331925</v>
      </c>
    </row>
    <row r="31" spans="2:8" x14ac:dyDescent="0.35">
      <c r="B31" s="10" t="s">
        <v>26</v>
      </c>
      <c r="C31" s="3" t="s">
        <v>25</v>
      </c>
      <c r="D31" s="3" t="s">
        <v>24</v>
      </c>
      <c r="E31" s="42">
        <f>E8</f>
        <v>4.0000000000000002E-4</v>
      </c>
    </row>
    <row r="32" spans="2:8" x14ac:dyDescent="0.35">
      <c r="B32" s="3" t="s">
        <v>21</v>
      </c>
      <c r="C32" s="3" t="s">
        <v>114</v>
      </c>
      <c r="D32" s="3" t="s">
        <v>16</v>
      </c>
      <c r="E32" s="8">
        <f>E4</f>
        <v>0</v>
      </c>
    </row>
    <row r="33" spans="2:6" x14ac:dyDescent="0.35">
      <c r="B33" s="3" t="s">
        <v>18</v>
      </c>
      <c r="C33" s="3" t="s">
        <v>17</v>
      </c>
      <c r="D33" s="3" t="s">
        <v>16</v>
      </c>
      <c r="E33" s="8">
        <v>0</v>
      </c>
    </row>
    <row r="34" spans="2:6" x14ac:dyDescent="0.35">
      <c r="B34" s="3" t="s">
        <v>12</v>
      </c>
      <c r="C34" s="3" t="s">
        <v>11</v>
      </c>
      <c r="D34" s="3" t="s">
        <v>10</v>
      </c>
      <c r="E34" s="8">
        <f>(1-E29)*E30*E31*(E32+E33)</f>
        <v>0</v>
      </c>
    </row>
    <row r="36" spans="2:6" x14ac:dyDescent="0.35">
      <c r="B36" s="74" t="s">
        <v>27</v>
      </c>
      <c r="C36" s="75"/>
      <c r="D36" s="75"/>
      <c r="E36" s="76"/>
    </row>
    <row r="37" spans="2:6" x14ac:dyDescent="0.35">
      <c r="B37" s="3" t="s">
        <v>23</v>
      </c>
      <c r="C37" s="3" t="s">
        <v>22</v>
      </c>
      <c r="D37" s="3" t="s">
        <v>1</v>
      </c>
      <c r="E37" s="9">
        <f>E26*((E13*E12)+E14)*E15</f>
        <v>66843.439234281832</v>
      </c>
    </row>
    <row r="38" spans="2:6" x14ac:dyDescent="0.35">
      <c r="B38" s="3" t="s">
        <v>20</v>
      </c>
      <c r="C38" s="3" t="s">
        <v>19</v>
      </c>
      <c r="D38" s="3" t="s">
        <v>1</v>
      </c>
      <c r="E38" s="9">
        <f>E34*((E13*E6)+E14)*E15</f>
        <v>0</v>
      </c>
    </row>
    <row r="39" spans="2:6" x14ac:dyDescent="0.35">
      <c r="B39" s="3" t="s">
        <v>15</v>
      </c>
      <c r="C39" s="3" t="s">
        <v>14</v>
      </c>
      <c r="D39" s="3" t="s">
        <v>13</v>
      </c>
      <c r="E39" s="8">
        <f>E7</f>
        <v>0.9</v>
      </c>
    </row>
    <row r="40" spans="2:6" x14ac:dyDescent="0.35">
      <c r="B40" s="3" t="s">
        <v>9</v>
      </c>
      <c r="C40" s="3" t="s">
        <v>8</v>
      </c>
      <c r="D40" s="3" t="s">
        <v>1</v>
      </c>
      <c r="E40" s="8">
        <v>0</v>
      </c>
      <c r="F40"/>
    </row>
    <row r="41" spans="2:6" x14ac:dyDescent="0.35">
      <c r="B41" s="3" t="s">
        <v>0</v>
      </c>
      <c r="C41" s="3" t="s">
        <v>2</v>
      </c>
      <c r="D41" s="3" t="s">
        <v>1</v>
      </c>
      <c r="E41" s="7">
        <f>(((E37-E38)*E39)-E40)*(1-E25)</f>
        <v>60159.095310853649</v>
      </c>
    </row>
    <row r="42" spans="2:6" x14ac:dyDescent="0.35">
      <c r="B42" s="3" t="s">
        <v>99</v>
      </c>
      <c r="C42" s="3"/>
      <c r="D42" s="3" t="s">
        <v>1</v>
      </c>
      <c r="E42" s="7">
        <f>IF(E41&gt;60000,60000,E41)</f>
        <v>60000</v>
      </c>
    </row>
    <row r="44" spans="2:6" x14ac:dyDescent="0.35">
      <c r="B44" s="46" t="s">
        <v>131</v>
      </c>
      <c r="C44" s="46" t="s">
        <v>132</v>
      </c>
      <c r="D44" s="46" t="s">
        <v>1</v>
      </c>
      <c r="E44" s="73">
        <f>E41/F19</f>
        <v>383.17895102454554</v>
      </c>
    </row>
    <row r="54" spans="6:7" x14ac:dyDescent="0.35">
      <c r="F54"/>
    </row>
    <row r="55" spans="6:7" x14ac:dyDescent="0.35">
      <c r="G55" s="2"/>
    </row>
    <row r="56" spans="6:7" x14ac:dyDescent="0.35">
      <c r="G56" s="2"/>
    </row>
    <row r="57" spans="6:7" x14ac:dyDescent="0.35">
      <c r="G57" s="2"/>
    </row>
    <row r="58" spans="6:7" x14ac:dyDescent="0.35">
      <c r="G58" s="2"/>
    </row>
    <row r="59" spans="6:7" x14ac:dyDescent="0.35">
      <c r="G59" s="2"/>
    </row>
    <row r="60" spans="6:7" x14ac:dyDescent="0.35">
      <c r="G60" s="2"/>
    </row>
    <row r="61" spans="6:7" x14ac:dyDescent="0.35">
      <c r="G61" s="2"/>
    </row>
    <row r="62" spans="6:7" x14ac:dyDescent="0.35">
      <c r="G62" s="2"/>
    </row>
    <row r="63" spans="6:7" x14ac:dyDescent="0.35">
      <c r="G63" s="2"/>
    </row>
    <row r="64" spans="6:7" x14ac:dyDescent="0.35">
      <c r="G64" s="2"/>
    </row>
    <row r="65" spans="6:7" x14ac:dyDescent="0.35">
      <c r="G65" s="2"/>
    </row>
    <row r="71" spans="6:7" x14ac:dyDescent="0.35">
      <c r="G71" s="1"/>
    </row>
    <row r="72" spans="6:7" x14ac:dyDescent="0.35">
      <c r="F72"/>
    </row>
  </sheetData>
  <mergeCells count="7">
    <mergeCell ref="B36:E36"/>
    <mergeCell ref="B23:E23"/>
    <mergeCell ref="B2:E2"/>
    <mergeCell ref="B11:E11"/>
    <mergeCell ref="H2:L2"/>
    <mergeCell ref="B17:E17"/>
    <mergeCell ref="B28:E28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3801B-8C2B-4407-8B6E-F0CA783508A3}">
  <dimension ref="A1:E29"/>
  <sheetViews>
    <sheetView zoomScale="60" zoomScaleNormal="60" workbookViewId="0">
      <selection activeCell="B32" sqref="B32"/>
    </sheetView>
  </sheetViews>
  <sheetFormatPr defaultRowHeight="14.5" x14ac:dyDescent="0.35"/>
  <cols>
    <col min="1" max="1" width="32.26953125" bestFit="1" customWidth="1"/>
    <col min="2" max="2" width="126.26953125" bestFit="1" customWidth="1"/>
    <col min="3" max="3" width="35" bestFit="1" customWidth="1"/>
    <col min="4" max="4" width="10.453125" bestFit="1" customWidth="1"/>
  </cols>
  <sheetData>
    <row r="1" spans="1:5" x14ac:dyDescent="0.35">
      <c r="A1" s="49" t="s">
        <v>75</v>
      </c>
      <c r="B1" s="49" t="s">
        <v>76</v>
      </c>
      <c r="C1" s="49" t="s">
        <v>112</v>
      </c>
      <c r="D1" s="49" t="s">
        <v>77</v>
      </c>
    </row>
    <row r="2" spans="1:5" x14ac:dyDescent="0.35">
      <c r="A2" s="60" t="s">
        <v>113</v>
      </c>
      <c r="B2" s="46" t="s">
        <v>100</v>
      </c>
      <c r="C2" s="64">
        <f>((C3-C4)/C3)*C8</f>
        <v>0.9</v>
      </c>
      <c r="D2" s="46" t="s">
        <v>81</v>
      </c>
    </row>
    <row r="3" spans="1:5" x14ac:dyDescent="0.35">
      <c r="A3" s="46" t="s">
        <v>101</v>
      </c>
      <c r="B3" s="46" t="s">
        <v>102</v>
      </c>
      <c r="C3" s="63">
        <f>C5*C6</f>
        <v>2.8E-3</v>
      </c>
      <c r="D3" s="46" t="s">
        <v>103</v>
      </c>
    </row>
    <row r="4" spans="1:5" x14ac:dyDescent="0.35">
      <c r="A4" s="61" t="s">
        <v>104</v>
      </c>
      <c r="B4" s="46" t="s">
        <v>105</v>
      </c>
      <c r="C4" s="63">
        <f>C6*C7</f>
        <v>0</v>
      </c>
      <c r="D4" s="46" t="s">
        <v>103</v>
      </c>
    </row>
    <row r="5" spans="1:5" x14ac:dyDescent="0.35">
      <c r="A5" s="46" t="s">
        <v>37</v>
      </c>
      <c r="B5" s="46" t="s">
        <v>106</v>
      </c>
      <c r="C5" s="67">
        <f>'VPA 33-36'!E20</f>
        <v>4.0000000000000002E-4</v>
      </c>
      <c r="D5" s="46" t="s">
        <v>107</v>
      </c>
      <c r="E5" s="70" t="s">
        <v>121</v>
      </c>
    </row>
    <row r="6" spans="1:5" x14ac:dyDescent="0.35">
      <c r="A6" s="46" t="s">
        <v>35</v>
      </c>
      <c r="B6" s="46" t="s">
        <v>108</v>
      </c>
      <c r="C6" s="17">
        <f>'VPA 33-36'!E3</f>
        <v>7</v>
      </c>
      <c r="D6" s="46" t="s">
        <v>109</v>
      </c>
    </row>
    <row r="7" spans="1:5" x14ac:dyDescent="0.35">
      <c r="A7" s="46" t="s">
        <v>110</v>
      </c>
      <c r="B7" s="46" t="s">
        <v>111</v>
      </c>
      <c r="C7" s="17">
        <v>0</v>
      </c>
      <c r="D7" s="46" t="s">
        <v>109</v>
      </c>
    </row>
    <row r="8" spans="1:5" ht="16.5" x14ac:dyDescent="0.45">
      <c r="A8" s="46" t="s">
        <v>94</v>
      </c>
      <c r="B8" s="46" t="s">
        <v>95</v>
      </c>
      <c r="C8" s="62">
        <f>'VPA 33-36'!E7</f>
        <v>0.9</v>
      </c>
      <c r="D8" s="46" t="s">
        <v>81</v>
      </c>
      <c r="E8" t="s">
        <v>88</v>
      </c>
    </row>
    <row r="10" spans="1:5" x14ac:dyDescent="0.35">
      <c r="A10" s="49" t="s">
        <v>83</v>
      </c>
      <c r="B10" s="49" t="s">
        <v>76</v>
      </c>
      <c r="C10" s="49" t="s">
        <v>117</v>
      </c>
      <c r="D10" s="49" t="s">
        <v>77</v>
      </c>
    </row>
    <row r="11" spans="1:5" x14ac:dyDescent="0.35">
      <c r="A11" s="51" t="s">
        <v>84</v>
      </c>
      <c r="B11" s="46" t="s">
        <v>120</v>
      </c>
      <c r="C11" s="68">
        <f>(C12-C13)/C12</f>
        <v>0.25125628140703515</v>
      </c>
      <c r="D11" s="46" t="s">
        <v>81</v>
      </c>
    </row>
    <row r="12" spans="1:5" x14ac:dyDescent="0.35">
      <c r="A12" s="51" t="s">
        <v>86</v>
      </c>
      <c r="B12" s="3" t="s">
        <v>118</v>
      </c>
      <c r="C12" s="52">
        <v>1.99</v>
      </c>
      <c r="D12" s="46" t="s">
        <v>85</v>
      </c>
      <c r="E12" t="s">
        <v>82</v>
      </c>
    </row>
    <row r="13" spans="1:5" x14ac:dyDescent="0.35">
      <c r="A13" s="51" t="s">
        <v>87</v>
      </c>
      <c r="B13" s="3" t="s">
        <v>119</v>
      </c>
      <c r="C13" s="58">
        <f>C12-0.5</f>
        <v>1.49</v>
      </c>
      <c r="D13" s="46" t="s">
        <v>85</v>
      </c>
      <c r="E13" t="s">
        <v>88</v>
      </c>
    </row>
    <row r="15" spans="1:5" x14ac:dyDescent="0.35">
      <c r="A15" s="49" t="s">
        <v>89</v>
      </c>
      <c r="B15" s="49" t="s">
        <v>76</v>
      </c>
      <c r="C15" s="49" t="s">
        <v>90</v>
      </c>
      <c r="D15" s="49" t="s">
        <v>77</v>
      </c>
    </row>
    <row r="16" spans="1:5" x14ac:dyDescent="0.35">
      <c r="A16" s="51" t="s">
        <v>91</v>
      </c>
      <c r="B16" s="46" t="s">
        <v>92</v>
      </c>
      <c r="C16" s="53">
        <f>C17*(1-C18)*C19</f>
        <v>41233.909090909088</v>
      </c>
      <c r="D16" s="46" t="s">
        <v>78</v>
      </c>
    </row>
    <row r="17" spans="1:5" x14ac:dyDescent="0.35">
      <c r="A17" s="51" t="s">
        <v>79</v>
      </c>
      <c r="B17" s="46" t="s">
        <v>93</v>
      </c>
      <c r="C17" s="47">
        <f>'VPA 33-36'!F19*'VPA 33-36'!F20</f>
        <v>47100</v>
      </c>
      <c r="D17" s="46" t="s">
        <v>78</v>
      </c>
    </row>
    <row r="18" spans="1:5" x14ac:dyDescent="0.35">
      <c r="A18" s="51" t="s">
        <v>30</v>
      </c>
      <c r="B18" s="50" t="s">
        <v>80</v>
      </c>
      <c r="C18" s="54">
        <f>'VPA 33-36'!E9</f>
        <v>2.7272727272727275E-2</v>
      </c>
      <c r="D18" s="46" t="s">
        <v>81</v>
      </c>
      <c r="E18" t="s">
        <v>82</v>
      </c>
    </row>
    <row r="19" spans="1:5" ht="16.5" x14ac:dyDescent="0.45">
      <c r="A19" s="51" t="s">
        <v>94</v>
      </c>
      <c r="B19" s="46" t="s">
        <v>95</v>
      </c>
      <c r="C19" s="57">
        <f>'VPA 33-36'!E7</f>
        <v>0.9</v>
      </c>
      <c r="D19" s="46" t="s">
        <v>81</v>
      </c>
      <c r="E19" t="s">
        <v>88</v>
      </c>
    </row>
    <row r="21" spans="1:5" x14ac:dyDescent="0.35">
      <c r="A21" s="55" t="s">
        <v>96</v>
      </c>
      <c r="B21" s="49" t="s">
        <v>76</v>
      </c>
      <c r="C21" s="49"/>
      <c r="D21" s="49" t="s">
        <v>77</v>
      </c>
    </row>
    <row r="22" spans="1:5" x14ac:dyDescent="0.35">
      <c r="A22" s="51" t="s">
        <v>97</v>
      </c>
      <c r="B22" s="46" t="s">
        <v>133</v>
      </c>
      <c r="C22" s="56">
        <f>'VPA 33-36'!E42</f>
        <v>60000</v>
      </c>
      <c r="D22" s="46" t="s">
        <v>98</v>
      </c>
    </row>
    <row r="24" spans="1:5" x14ac:dyDescent="0.35">
      <c r="C24" s="44"/>
    </row>
    <row r="29" spans="1:5" x14ac:dyDescent="0.35">
      <c r="C29" s="6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14"/>
  <sheetViews>
    <sheetView workbookViewId="0">
      <selection activeCell="C11" sqref="C11"/>
    </sheetView>
  </sheetViews>
  <sheetFormatPr defaultRowHeight="14.5" x14ac:dyDescent="0.35"/>
  <cols>
    <col min="1" max="1" width="3.453125" style="19" customWidth="1"/>
    <col min="2" max="2" width="55" style="19" bestFit="1" customWidth="1"/>
    <col min="3" max="13" width="9.1796875" style="19"/>
    <col min="14" max="14" width="20.26953125" style="19" bestFit="1" customWidth="1"/>
    <col min="15" max="15" width="18.81640625" style="19" customWidth="1"/>
    <col min="16" max="256" width="9.1796875" style="19"/>
    <col min="257" max="257" width="3.453125" style="19" customWidth="1"/>
    <col min="258" max="258" width="48.7265625" style="19" bestFit="1" customWidth="1"/>
    <col min="259" max="512" width="9.1796875" style="19"/>
    <col min="513" max="513" width="3.453125" style="19" customWidth="1"/>
    <col min="514" max="514" width="48.7265625" style="19" bestFit="1" customWidth="1"/>
    <col min="515" max="768" width="9.1796875" style="19"/>
    <col min="769" max="769" width="3.453125" style="19" customWidth="1"/>
    <col min="770" max="770" width="48.7265625" style="19" bestFit="1" customWidth="1"/>
    <col min="771" max="1024" width="9.1796875" style="19"/>
    <col min="1025" max="1025" width="3.453125" style="19" customWidth="1"/>
    <col min="1026" max="1026" width="48.7265625" style="19" bestFit="1" customWidth="1"/>
    <col min="1027" max="1280" width="9.1796875" style="19"/>
    <col min="1281" max="1281" width="3.453125" style="19" customWidth="1"/>
    <col min="1282" max="1282" width="48.7265625" style="19" bestFit="1" customWidth="1"/>
    <col min="1283" max="1536" width="9.1796875" style="19"/>
    <col min="1537" max="1537" width="3.453125" style="19" customWidth="1"/>
    <col min="1538" max="1538" width="48.7265625" style="19" bestFit="1" customWidth="1"/>
    <col min="1539" max="1792" width="9.1796875" style="19"/>
    <col min="1793" max="1793" width="3.453125" style="19" customWidth="1"/>
    <col min="1794" max="1794" width="48.7265625" style="19" bestFit="1" customWidth="1"/>
    <col min="1795" max="2048" width="9.1796875" style="19"/>
    <col min="2049" max="2049" width="3.453125" style="19" customWidth="1"/>
    <col min="2050" max="2050" width="48.7265625" style="19" bestFit="1" customWidth="1"/>
    <col min="2051" max="2304" width="9.1796875" style="19"/>
    <col min="2305" max="2305" width="3.453125" style="19" customWidth="1"/>
    <col min="2306" max="2306" width="48.7265625" style="19" bestFit="1" customWidth="1"/>
    <col min="2307" max="2560" width="9.1796875" style="19"/>
    <col min="2561" max="2561" width="3.453125" style="19" customWidth="1"/>
    <col min="2562" max="2562" width="48.7265625" style="19" bestFit="1" customWidth="1"/>
    <col min="2563" max="2816" width="9.1796875" style="19"/>
    <col min="2817" max="2817" width="3.453125" style="19" customWidth="1"/>
    <col min="2818" max="2818" width="48.7265625" style="19" bestFit="1" customWidth="1"/>
    <col min="2819" max="3072" width="9.1796875" style="19"/>
    <col min="3073" max="3073" width="3.453125" style="19" customWidth="1"/>
    <col min="3074" max="3074" width="48.7265625" style="19" bestFit="1" customWidth="1"/>
    <col min="3075" max="3328" width="9.1796875" style="19"/>
    <col min="3329" max="3329" width="3.453125" style="19" customWidth="1"/>
    <col min="3330" max="3330" width="48.7265625" style="19" bestFit="1" customWidth="1"/>
    <col min="3331" max="3584" width="9.1796875" style="19"/>
    <col min="3585" max="3585" width="3.453125" style="19" customWidth="1"/>
    <col min="3586" max="3586" width="48.7265625" style="19" bestFit="1" customWidth="1"/>
    <col min="3587" max="3840" width="9.1796875" style="19"/>
    <col min="3841" max="3841" width="3.453125" style="19" customWidth="1"/>
    <col min="3842" max="3842" width="48.7265625" style="19" bestFit="1" customWidth="1"/>
    <col min="3843" max="4096" width="9.1796875" style="19"/>
    <col min="4097" max="4097" width="3.453125" style="19" customWidth="1"/>
    <col min="4098" max="4098" width="48.7265625" style="19" bestFit="1" customWidth="1"/>
    <col min="4099" max="4352" width="9.1796875" style="19"/>
    <col min="4353" max="4353" width="3.453125" style="19" customWidth="1"/>
    <col min="4354" max="4354" width="48.7265625" style="19" bestFit="1" customWidth="1"/>
    <col min="4355" max="4608" width="9.1796875" style="19"/>
    <col min="4609" max="4609" width="3.453125" style="19" customWidth="1"/>
    <col min="4610" max="4610" width="48.7265625" style="19" bestFit="1" customWidth="1"/>
    <col min="4611" max="4864" width="9.1796875" style="19"/>
    <col min="4865" max="4865" width="3.453125" style="19" customWidth="1"/>
    <col min="4866" max="4866" width="48.7265625" style="19" bestFit="1" customWidth="1"/>
    <col min="4867" max="5120" width="9.1796875" style="19"/>
    <col min="5121" max="5121" width="3.453125" style="19" customWidth="1"/>
    <col min="5122" max="5122" width="48.7265625" style="19" bestFit="1" customWidth="1"/>
    <col min="5123" max="5376" width="9.1796875" style="19"/>
    <col min="5377" max="5377" width="3.453125" style="19" customWidth="1"/>
    <col min="5378" max="5378" width="48.7265625" style="19" bestFit="1" customWidth="1"/>
    <col min="5379" max="5632" width="9.1796875" style="19"/>
    <col min="5633" max="5633" width="3.453125" style="19" customWidth="1"/>
    <col min="5634" max="5634" width="48.7265625" style="19" bestFit="1" customWidth="1"/>
    <col min="5635" max="5888" width="9.1796875" style="19"/>
    <col min="5889" max="5889" width="3.453125" style="19" customWidth="1"/>
    <col min="5890" max="5890" width="48.7265625" style="19" bestFit="1" customWidth="1"/>
    <col min="5891" max="6144" width="9.1796875" style="19"/>
    <col min="6145" max="6145" width="3.453125" style="19" customWidth="1"/>
    <col min="6146" max="6146" width="48.7265625" style="19" bestFit="1" customWidth="1"/>
    <col min="6147" max="6400" width="9.1796875" style="19"/>
    <col min="6401" max="6401" width="3.453125" style="19" customWidth="1"/>
    <col min="6402" max="6402" width="48.7265625" style="19" bestFit="1" customWidth="1"/>
    <col min="6403" max="6656" width="9.1796875" style="19"/>
    <col min="6657" max="6657" width="3.453125" style="19" customWidth="1"/>
    <col min="6658" max="6658" width="48.7265625" style="19" bestFit="1" customWidth="1"/>
    <col min="6659" max="6912" width="9.1796875" style="19"/>
    <col min="6913" max="6913" width="3.453125" style="19" customWidth="1"/>
    <col min="6914" max="6914" width="48.7265625" style="19" bestFit="1" customWidth="1"/>
    <col min="6915" max="7168" width="9.1796875" style="19"/>
    <col min="7169" max="7169" width="3.453125" style="19" customWidth="1"/>
    <col min="7170" max="7170" width="48.7265625" style="19" bestFit="1" customWidth="1"/>
    <col min="7171" max="7424" width="9.1796875" style="19"/>
    <col min="7425" max="7425" width="3.453125" style="19" customWidth="1"/>
    <col min="7426" max="7426" width="48.7265625" style="19" bestFit="1" customWidth="1"/>
    <col min="7427" max="7680" width="9.1796875" style="19"/>
    <col min="7681" max="7681" width="3.453125" style="19" customWidth="1"/>
    <col min="7682" max="7682" width="48.7265625" style="19" bestFit="1" customWidth="1"/>
    <col min="7683" max="7936" width="9.1796875" style="19"/>
    <col min="7937" max="7937" width="3.453125" style="19" customWidth="1"/>
    <col min="7938" max="7938" width="48.7265625" style="19" bestFit="1" customWidth="1"/>
    <col min="7939" max="8192" width="9.1796875" style="19"/>
    <col min="8193" max="8193" width="3.453125" style="19" customWidth="1"/>
    <col min="8194" max="8194" width="48.7265625" style="19" bestFit="1" customWidth="1"/>
    <col min="8195" max="8448" width="9.1796875" style="19"/>
    <col min="8449" max="8449" width="3.453125" style="19" customWidth="1"/>
    <col min="8450" max="8450" width="48.7265625" style="19" bestFit="1" customWidth="1"/>
    <col min="8451" max="8704" width="9.1796875" style="19"/>
    <col min="8705" max="8705" width="3.453125" style="19" customWidth="1"/>
    <col min="8706" max="8706" width="48.7265625" style="19" bestFit="1" customWidth="1"/>
    <col min="8707" max="8960" width="9.1796875" style="19"/>
    <col min="8961" max="8961" width="3.453125" style="19" customWidth="1"/>
    <col min="8962" max="8962" width="48.7265625" style="19" bestFit="1" customWidth="1"/>
    <col min="8963" max="9216" width="9.1796875" style="19"/>
    <col min="9217" max="9217" width="3.453125" style="19" customWidth="1"/>
    <col min="9218" max="9218" width="48.7265625" style="19" bestFit="1" customWidth="1"/>
    <col min="9219" max="9472" width="9.1796875" style="19"/>
    <col min="9473" max="9473" width="3.453125" style="19" customWidth="1"/>
    <col min="9474" max="9474" width="48.7265625" style="19" bestFit="1" customWidth="1"/>
    <col min="9475" max="9728" width="9.1796875" style="19"/>
    <col min="9729" max="9729" width="3.453125" style="19" customWidth="1"/>
    <col min="9730" max="9730" width="48.7265625" style="19" bestFit="1" customWidth="1"/>
    <col min="9731" max="9984" width="9.1796875" style="19"/>
    <col min="9985" max="9985" width="3.453125" style="19" customWidth="1"/>
    <col min="9986" max="9986" width="48.7265625" style="19" bestFit="1" customWidth="1"/>
    <col min="9987" max="10240" width="9.1796875" style="19"/>
    <col min="10241" max="10241" width="3.453125" style="19" customWidth="1"/>
    <col min="10242" max="10242" width="48.7265625" style="19" bestFit="1" customWidth="1"/>
    <col min="10243" max="10496" width="9.1796875" style="19"/>
    <col min="10497" max="10497" width="3.453125" style="19" customWidth="1"/>
    <col min="10498" max="10498" width="48.7265625" style="19" bestFit="1" customWidth="1"/>
    <col min="10499" max="10752" width="9.1796875" style="19"/>
    <col min="10753" max="10753" width="3.453125" style="19" customWidth="1"/>
    <col min="10754" max="10754" width="48.7265625" style="19" bestFit="1" customWidth="1"/>
    <col min="10755" max="11008" width="9.1796875" style="19"/>
    <col min="11009" max="11009" width="3.453125" style="19" customWidth="1"/>
    <col min="11010" max="11010" width="48.7265625" style="19" bestFit="1" customWidth="1"/>
    <col min="11011" max="11264" width="9.1796875" style="19"/>
    <col min="11265" max="11265" width="3.453125" style="19" customWidth="1"/>
    <col min="11266" max="11266" width="48.7265625" style="19" bestFit="1" customWidth="1"/>
    <col min="11267" max="11520" width="9.1796875" style="19"/>
    <col min="11521" max="11521" width="3.453125" style="19" customWidth="1"/>
    <col min="11522" max="11522" width="48.7265625" style="19" bestFit="1" customWidth="1"/>
    <col min="11523" max="11776" width="9.1796875" style="19"/>
    <col min="11777" max="11777" width="3.453125" style="19" customWidth="1"/>
    <col min="11778" max="11778" width="48.7265625" style="19" bestFit="1" customWidth="1"/>
    <col min="11779" max="12032" width="9.1796875" style="19"/>
    <col min="12033" max="12033" width="3.453125" style="19" customWidth="1"/>
    <col min="12034" max="12034" width="48.7265625" style="19" bestFit="1" customWidth="1"/>
    <col min="12035" max="12288" width="9.1796875" style="19"/>
    <col min="12289" max="12289" width="3.453125" style="19" customWidth="1"/>
    <col min="12290" max="12290" width="48.7265625" style="19" bestFit="1" customWidth="1"/>
    <col min="12291" max="12544" width="9.1796875" style="19"/>
    <col min="12545" max="12545" width="3.453125" style="19" customWidth="1"/>
    <col min="12546" max="12546" width="48.7265625" style="19" bestFit="1" customWidth="1"/>
    <col min="12547" max="12800" width="9.1796875" style="19"/>
    <col min="12801" max="12801" width="3.453125" style="19" customWidth="1"/>
    <col min="12802" max="12802" width="48.7265625" style="19" bestFit="1" customWidth="1"/>
    <col min="12803" max="13056" width="9.1796875" style="19"/>
    <col min="13057" max="13057" width="3.453125" style="19" customWidth="1"/>
    <col min="13058" max="13058" width="48.7265625" style="19" bestFit="1" customWidth="1"/>
    <col min="13059" max="13312" width="9.1796875" style="19"/>
    <col min="13313" max="13313" width="3.453125" style="19" customWidth="1"/>
    <col min="13314" max="13314" width="48.7265625" style="19" bestFit="1" customWidth="1"/>
    <col min="13315" max="13568" width="9.1796875" style="19"/>
    <col min="13569" max="13569" width="3.453125" style="19" customWidth="1"/>
    <col min="13570" max="13570" width="48.7265625" style="19" bestFit="1" customWidth="1"/>
    <col min="13571" max="13824" width="9.1796875" style="19"/>
    <col min="13825" max="13825" width="3.453125" style="19" customWidth="1"/>
    <col min="13826" max="13826" width="48.7265625" style="19" bestFit="1" customWidth="1"/>
    <col min="13827" max="14080" width="9.1796875" style="19"/>
    <col min="14081" max="14081" width="3.453125" style="19" customWidth="1"/>
    <col min="14082" max="14082" width="48.7265625" style="19" bestFit="1" customWidth="1"/>
    <col min="14083" max="14336" width="9.1796875" style="19"/>
    <col min="14337" max="14337" width="3.453125" style="19" customWidth="1"/>
    <col min="14338" max="14338" width="48.7265625" style="19" bestFit="1" customWidth="1"/>
    <col min="14339" max="14592" width="9.1796875" style="19"/>
    <col min="14593" max="14593" width="3.453125" style="19" customWidth="1"/>
    <col min="14594" max="14594" width="48.7265625" style="19" bestFit="1" customWidth="1"/>
    <col min="14595" max="14848" width="9.1796875" style="19"/>
    <col min="14849" max="14849" width="3.453125" style="19" customWidth="1"/>
    <col min="14850" max="14850" width="48.7265625" style="19" bestFit="1" customWidth="1"/>
    <col min="14851" max="15104" width="9.1796875" style="19"/>
    <col min="15105" max="15105" width="3.453125" style="19" customWidth="1"/>
    <col min="15106" max="15106" width="48.7265625" style="19" bestFit="1" customWidth="1"/>
    <col min="15107" max="15360" width="9.1796875" style="19"/>
    <col min="15361" max="15361" width="3.453125" style="19" customWidth="1"/>
    <col min="15362" max="15362" width="48.7265625" style="19" bestFit="1" customWidth="1"/>
    <col min="15363" max="15616" width="9.1796875" style="19"/>
    <col min="15617" max="15617" width="3.453125" style="19" customWidth="1"/>
    <col min="15618" max="15618" width="48.7265625" style="19" bestFit="1" customWidth="1"/>
    <col min="15619" max="15872" width="9.1796875" style="19"/>
    <col min="15873" max="15873" width="3.453125" style="19" customWidth="1"/>
    <col min="15874" max="15874" width="48.7265625" style="19" bestFit="1" customWidth="1"/>
    <col min="15875" max="16128" width="9.1796875" style="19"/>
    <col min="16129" max="16129" width="3.453125" style="19" customWidth="1"/>
    <col min="16130" max="16130" width="48.7265625" style="19" bestFit="1" customWidth="1"/>
    <col min="16131" max="16384" width="9.1796875" style="19"/>
  </cols>
  <sheetData>
    <row r="2" spans="2:15" x14ac:dyDescent="0.35">
      <c r="B2" s="17" t="s">
        <v>59</v>
      </c>
      <c r="C2" s="18">
        <v>8.25</v>
      </c>
      <c r="D2" s="19" t="s">
        <v>115</v>
      </c>
      <c r="E2" s="20"/>
      <c r="F2" s="20"/>
      <c r="G2" s="20"/>
      <c r="H2" s="20"/>
      <c r="I2" s="20"/>
      <c r="J2" s="20"/>
      <c r="K2" s="20"/>
      <c r="L2" s="20"/>
      <c r="M2" s="20"/>
      <c r="N2" s="21" t="s">
        <v>60</v>
      </c>
      <c r="O2" s="22">
        <v>1.5599999999999999E-2</v>
      </c>
    </row>
    <row r="3" spans="2:15" x14ac:dyDescent="0.35">
      <c r="B3" s="10" t="s">
        <v>57</v>
      </c>
      <c r="C3" s="23">
        <v>7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1" t="s">
        <v>61</v>
      </c>
      <c r="O3" s="24">
        <f>60*60*1000</f>
        <v>3600000</v>
      </c>
    </row>
    <row r="4" spans="2:15" x14ac:dyDescent="0.35">
      <c r="B4" s="3" t="s">
        <v>62</v>
      </c>
      <c r="C4" s="25">
        <v>1.374E-3</v>
      </c>
      <c r="D4" s="20" t="s">
        <v>116</v>
      </c>
      <c r="E4" s="20"/>
      <c r="F4" s="20"/>
      <c r="G4" s="20"/>
      <c r="H4" s="20"/>
      <c r="I4" s="20"/>
      <c r="J4" s="20"/>
      <c r="K4" s="20"/>
      <c r="L4" s="20"/>
      <c r="M4" s="20"/>
      <c r="N4" s="21" t="s">
        <v>63</v>
      </c>
      <c r="O4" s="22">
        <f>1/O3</f>
        <v>2.7777777777777776E-7</v>
      </c>
    </row>
    <row r="5" spans="2:15" x14ac:dyDescent="0.35">
      <c r="B5" s="26" t="s">
        <v>64</v>
      </c>
      <c r="C5" s="27">
        <f>C4*C3*C2</f>
        <v>7.9348500000000002E-2</v>
      </c>
      <c r="D5" s="20"/>
      <c r="E5" s="20"/>
      <c r="F5" s="20"/>
      <c r="G5" s="20"/>
      <c r="H5" s="28"/>
      <c r="I5" s="20"/>
      <c r="J5" s="20"/>
      <c r="K5" s="20"/>
      <c r="L5" s="20"/>
      <c r="M5" s="20"/>
      <c r="N5" s="21" t="s">
        <v>65</v>
      </c>
      <c r="O5" s="24">
        <f>O2*1000000000000</f>
        <v>15600000000</v>
      </c>
    </row>
    <row r="6" spans="2:15" x14ac:dyDescent="0.35">
      <c r="B6" s="26" t="s">
        <v>66</v>
      </c>
      <c r="C6" s="24">
        <f>O6</f>
        <v>4333.333333333333</v>
      </c>
      <c r="D6" s="20"/>
      <c r="E6" s="20"/>
      <c r="F6" s="20"/>
      <c r="G6" s="20"/>
      <c r="H6" s="28"/>
      <c r="I6" s="20"/>
      <c r="J6" s="20"/>
      <c r="K6" s="20"/>
      <c r="L6" s="20"/>
      <c r="M6" s="20"/>
      <c r="N6" s="21" t="s">
        <v>66</v>
      </c>
      <c r="O6" s="24">
        <f>O5*O4</f>
        <v>4333.333333333333</v>
      </c>
    </row>
    <row r="7" spans="2:15" x14ac:dyDescent="0.35">
      <c r="B7" s="26" t="s">
        <v>67</v>
      </c>
      <c r="C7" s="29">
        <f>C6*C5</f>
        <v>343.84350000000001</v>
      </c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2:15" x14ac:dyDescent="0.35">
      <c r="B8" s="26" t="s">
        <v>68</v>
      </c>
      <c r="C8" s="22">
        <v>1</v>
      </c>
      <c r="D8" s="30">
        <v>2</v>
      </c>
      <c r="E8" s="22">
        <v>3</v>
      </c>
      <c r="F8" s="25">
        <v>4</v>
      </c>
      <c r="G8" s="22">
        <v>5</v>
      </c>
      <c r="H8" s="31">
        <v>6</v>
      </c>
      <c r="I8" s="22">
        <v>7</v>
      </c>
      <c r="J8" s="22">
        <v>8</v>
      </c>
      <c r="K8" s="22">
        <v>9</v>
      </c>
      <c r="L8" s="22">
        <v>10</v>
      </c>
      <c r="M8" s="20"/>
    </row>
    <row r="9" spans="2:15" x14ac:dyDescent="0.35">
      <c r="B9" s="26" t="s">
        <v>69</v>
      </c>
      <c r="C9" s="29">
        <f>$C$7/C8</f>
        <v>343.84350000000001</v>
      </c>
      <c r="D9" s="32">
        <f t="shared" ref="D9:L9" si="0">$C$7/D8</f>
        <v>171.92175</v>
      </c>
      <c r="E9" s="29">
        <f t="shared" si="0"/>
        <v>114.61450000000001</v>
      </c>
      <c r="F9" s="33">
        <f t="shared" si="0"/>
        <v>85.960875000000001</v>
      </c>
      <c r="G9" s="29">
        <f t="shared" si="0"/>
        <v>68.768699999999995</v>
      </c>
      <c r="H9" s="34">
        <f t="shared" si="0"/>
        <v>57.307250000000003</v>
      </c>
      <c r="I9" s="29">
        <f t="shared" si="0"/>
        <v>49.1205</v>
      </c>
      <c r="J9" s="29">
        <f t="shared" si="0"/>
        <v>42.980437500000001</v>
      </c>
      <c r="K9" s="29">
        <f t="shared" si="0"/>
        <v>38.204833333333333</v>
      </c>
      <c r="L9" s="29">
        <f t="shared" si="0"/>
        <v>34.384349999999998</v>
      </c>
      <c r="M9" s="20"/>
    </row>
    <row r="10" spans="2:15" x14ac:dyDescent="0.35">
      <c r="B10" s="26" t="s">
        <v>70</v>
      </c>
      <c r="C10" s="35">
        <v>0.1</v>
      </c>
      <c r="D10" s="36"/>
      <c r="E10" s="36"/>
      <c r="F10" s="37"/>
      <c r="G10" s="38"/>
      <c r="H10" s="39"/>
      <c r="I10" s="38"/>
      <c r="J10" s="36"/>
      <c r="K10" s="36"/>
      <c r="L10" s="36"/>
      <c r="M10" s="20"/>
    </row>
    <row r="11" spans="2:15" x14ac:dyDescent="0.35">
      <c r="B11" s="26" t="s">
        <v>71</v>
      </c>
      <c r="C11" s="40">
        <f>$C$10*C9</f>
        <v>34.384350000000005</v>
      </c>
      <c r="D11" s="36">
        <f t="shared" ref="D11:L11" si="1">$C$10*D9</f>
        <v>17.192175000000002</v>
      </c>
      <c r="E11" s="36">
        <f t="shared" si="1"/>
        <v>11.461450000000001</v>
      </c>
      <c r="F11" s="36">
        <f t="shared" si="1"/>
        <v>8.5960875000000012</v>
      </c>
      <c r="G11" s="36">
        <f t="shared" si="1"/>
        <v>6.8768700000000003</v>
      </c>
      <c r="H11" s="36">
        <f t="shared" si="1"/>
        <v>5.7307250000000005</v>
      </c>
      <c r="I11" s="36">
        <f t="shared" si="1"/>
        <v>4.9120500000000007</v>
      </c>
      <c r="J11" s="36">
        <f t="shared" si="1"/>
        <v>4.2980437500000006</v>
      </c>
      <c r="K11" s="36">
        <f t="shared" si="1"/>
        <v>3.8204833333333337</v>
      </c>
      <c r="L11" s="36">
        <f t="shared" si="1"/>
        <v>3.4384350000000001</v>
      </c>
      <c r="M11" s="20"/>
    </row>
    <row r="12" spans="2:15" x14ac:dyDescent="0.35"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spans="2:15" x14ac:dyDescent="0.35"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spans="2:15" x14ac:dyDescent="0.35"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7D8FF0EBC1E34CAA966933F5D9F9ED" ma:contentTypeVersion="13" ma:contentTypeDescription="Create a new document." ma:contentTypeScope="" ma:versionID="bd3d737bff52a4512cd3c304d65fbe3b">
  <xsd:schema xmlns:xsd="http://www.w3.org/2001/XMLSchema" xmlns:xs="http://www.w3.org/2001/XMLSchema" xmlns:p="http://schemas.microsoft.com/office/2006/metadata/properties" xmlns:ns1="http://schemas.microsoft.com/sharepoint/v3" xmlns:ns2="8bcd9205-aa71-43b1-82fe-dcc00a36dd04" xmlns:ns3="83a6049c-05c8-4e22-bd03-2c19a5f84a8b" targetNamespace="http://schemas.microsoft.com/office/2006/metadata/properties" ma:root="true" ma:fieldsID="a19a2232c269ddbca77bc2a124c44dca" ns1:_="" ns2:_="" ns3:_="">
    <xsd:import namespace="http://schemas.microsoft.com/sharepoint/v3"/>
    <xsd:import namespace="8bcd9205-aa71-43b1-82fe-dcc00a36dd04"/>
    <xsd:import namespace="83a6049c-05c8-4e22-bd03-2c19a5f84a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1:PublishingStartDate" minOccurs="0"/>
                <xsd:element ref="ns1:PublishingExpirationDat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2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3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cd9205-aa71-43b1-82fe-dcc00a36dd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6049c-05c8-4e22-bd03-2c19a5f84a8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537E2A-BD19-48BC-9D48-42B527AEBE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bcd9205-aa71-43b1-82fe-dcc00a36dd04"/>
    <ds:schemaRef ds:uri="83a6049c-05c8-4e22-bd03-2c19a5f84a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B95FD0-15AC-478F-9C92-F2D87AC10B3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3a6049c-05c8-4e22-bd03-2c19a5f84a8b"/>
    <ds:schemaRef ds:uri="http://schemas.microsoft.com/sharepoint/v3"/>
    <ds:schemaRef ds:uri="8bcd9205-aa71-43b1-82fe-dcc00a36dd0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05BB6D2-EE9F-412B-966A-8F1E7D8CF1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VPA 33-36</vt:lpstr>
      <vt:lpstr>SDGs Calculations</vt:lpstr>
      <vt:lpstr>Useful Energy Output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Ethan</dc:creator>
  <cp:lastModifiedBy>Thomas Urry</cp:lastModifiedBy>
  <dcterms:created xsi:type="dcterms:W3CDTF">2015-12-09T12:22:32Z</dcterms:created>
  <dcterms:modified xsi:type="dcterms:W3CDTF">2021-05-17T15:23:05Z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0x010100467D8FF0EBC1E34CAA966933F5D9F9ED</vt:lpwstr>
  </property>
</Properties>
</file>